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tha\OneDrive\Documents\MAPS\MAPS 2021\Repo\Data_Sheet_SpreadSheets\"/>
    </mc:Choice>
  </mc:AlternateContent>
  <xr:revisionPtr revIDLastSave="0" documentId="13_ncr:1_{A0791B57-D98D-4C03-BAC9-AC09B4D37DF9}" xr6:coauthVersionLast="47" xr6:coauthVersionMax="47" xr10:uidLastSave="{00000000-0000-0000-0000-000000000000}"/>
  <bookViews>
    <workbookView xWindow="-120" yWindow="-120" windowWidth="29040" windowHeight="15840" activeTab="7" xr2:uid="{00000000-000D-0000-FFFF-FFFF00000000}"/>
    <workbookView xWindow="28680" yWindow="-75" windowWidth="29040" windowHeight="15840" activeTab="9" xr2:uid="{77EC110B-1C97-4BA1-92FC-6AF3028D9259}"/>
  </bookViews>
  <sheets>
    <sheet name="Breeding Status" sheetId="1" r:id="rId1"/>
    <sheet name="Period4" sheetId="2" r:id="rId2"/>
    <sheet name="Period5" sheetId="3" r:id="rId3"/>
    <sheet name="Period6" sheetId="4" r:id="rId4"/>
    <sheet name="Period7" sheetId="5" r:id="rId5"/>
    <sheet name="Period8" sheetId="6" r:id="rId6"/>
    <sheet name="Period9" sheetId="7" r:id="rId7"/>
    <sheet name="Period10" sheetId="8" r:id="rId8"/>
    <sheet name="Combined" sheetId="9" r:id="rId9"/>
    <sheet name="CombValu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67" i="9" l="1"/>
  <c r="AO267" i="9"/>
  <c r="AK267" i="9"/>
  <c r="AJ267" i="9"/>
  <c r="AI267" i="9"/>
  <c r="AH267" i="9"/>
  <c r="AG267" i="9"/>
  <c r="AF267" i="9"/>
  <c r="AE267" i="9"/>
  <c r="AD267" i="9"/>
  <c r="U267" i="9"/>
  <c r="T267" i="9"/>
  <c r="S267" i="9"/>
  <c r="R267" i="9"/>
  <c r="Q267" i="9"/>
  <c r="P267" i="9"/>
  <c r="O267" i="9"/>
  <c r="N267" i="9"/>
  <c r="K267" i="9"/>
  <c r="J267" i="9"/>
  <c r="I267" i="9"/>
  <c r="H267" i="9"/>
  <c r="G267" i="9"/>
  <c r="F267" i="9"/>
  <c r="E267" i="9"/>
  <c r="D267" i="9"/>
  <c r="C267" i="9"/>
  <c r="B267" i="9"/>
  <c r="A267" i="9"/>
  <c r="AP266" i="9"/>
  <c r="AO266" i="9"/>
  <c r="AK266" i="9"/>
  <c r="AJ266" i="9"/>
  <c r="AI266" i="9"/>
  <c r="AH266" i="9"/>
  <c r="AG266" i="9"/>
  <c r="AF266" i="9"/>
  <c r="AE266" i="9"/>
  <c r="AD266" i="9"/>
  <c r="U266" i="9"/>
  <c r="T266" i="9"/>
  <c r="S266" i="9"/>
  <c r="R266" i="9"/>
  <c r="Q266" i="9"/>
  <c r="P266" i="9"/>
  <c r="O266" i="9"/>
  <c r="N266" i="9"/>
  <c r="K266" i="9"/>
  <c r="J266" i="9"/>
  <c r="I266" i="9"/>
  <c r="H266" i="9"/>
  <c r="G266" i="9"/>
  <c r="F266" i="9"/>
  <c r="E266" i="9"/>
  <c r="D266" i="9"/>
  <c r="C266" i="9"/>
  <c r="B266" i="9"/>
  <c r="A266" i="9"/>
  <c r="AP265" i="9"/>
  <c r="AO265" i="9"/>
  <c r="AK265" i="9"/>
  <c r="AJ265" i="9"/>
  <c r="AI265" i="9"/>
  <c r="AH265" i="9"/>
  <c r="AG265" i="9"/>
  <c r="AF265" i="9"/>
  <c r="AE265" i="9"/>
  <c r="AD265" i="9"/>
  <c r="U265" i="9"/>
  <c r="T265" i="9"/>
  <c r="S265" i="9"/>
  <c r="R265" i="9"/>
  <c r="Q265" i="9"/>
  <c r="P265" i="9"/>
  <c r="O265" i="9"/>
  <c r="N265" i="9"/>
  <c r="K265" i="9"/>
  <c r="J265" i="9"/>
  <c r="I265" i="9"/>
  <c r="H265" i="9"/>
  <c r="G265" i="9"/>
  <c r="F265" i="9"/>
  <c r="E265" i="9"/>
  <c r="D265" i="9"/>
  <c r="C265" i="9"/>
  <c r="B265" i="9"/>
  <c r="A265" i="9"/>
  <c r="AP264" i="9"/>
  <c r="AO264" i="9"/>
  <c r="AK264" i="9"/>
  <c r="AJ264" i="9"/>
  <c r="AI264" i="9"/>
  <c r="AH264" i="9"/>
  <c r="AG264" i="9"/>
  <c r="AF264" i="9"/>
  <c r="AE264" i="9"/>
  <c r="AD264" i="9"/>
  <c r="U264" i="9"/>
  <c r="T264" i="9"/>
  <c r="S264" i="9"/>
  <c r="R264" i="9"/>
  <c r="Q264" i="9"/>
  <c r="P264" i="9"/>
  <c r="O264" i="9"/>
  <c r="N264" i="9"/>
  <c r="K264" i="9"/>
  <c r="J264" i="9"/>
  <c r="I264" i="9"/>
  <c r="H264" i="9"/>
  <c r="G264" i="9"/>
  <c r="F264" i="9"/>
  <c r="E264" i="9"/>
  <c r="D264" i="9"/>
  <c r="C264" i="9"/>
  <c r="B264" i="9"/>
  <c r="A264" i="9"/>
  <c r="AP263" i="9"/>
  <c r="AO263" i="9"/>
  <c r="AN263" i="9"/>
  <c r="AM263" i="9"/>
  <c r="AK263" i="9"/>
  <c r="AJ263" i="9"/>
  <c r="AI263" i="9"/>
  <c r="AH263" i="9"/>
  <c r="AG263" i="9"/>
  <c r="AF263" i="9"/>
  <c r="AE263" i="9"/>
  <c r="AD263" i="9"/>
  <c r="U263" i="9"/>
  <c r="T263" i="9"/>
  <c r="S263" i="9"/>
  <c r="R263" i="9"/>
  <c r="Q263" i="9"/>
  <c r="P263" i="9"/>
  <c r="O263" i="9"/>
  <c r="N263" i="9"/>
  <c r="K263" i="9"/>
  <c r="J263" i="9"/>
  <c r="H263" i="9"/>
  <c r="G263" i="9"/>
  <c r="F263" i="9"/>
  <c r="E263" i="9"/>
  <c r="D263" i="9"/>
  <c r="C263" i="9"/>
  <c r="B263" i="9"/>
  <c r="A263" i="9"/>
  <c r="AP262" i="9"/>
  <c r="AO262" i="9"/>
  <c r="AK262" i="9"/>
  <c r="AJ262" i="9"/>
  <c r="AI262" i="9"/>
  <c r="AH262" i="9"/>
  <c r="AG262" i="9"/>
  <c r="AF262" i="9"/>
  <c r="AE262" i="9"/>
  <c r="AD262" i="9"/>
  <c r="U262" i="9"/>
  <c r="T262" i="9"/>
  <c r="S262" i="9"/>
  <c r="R262" i="9"/>
  <c r="Q262" i="9"/>
  <c r="P262" i="9"/>
  <c r="O262" i="9"/>
  <c r="N262" i="9"/>
  <c r="K262" i="9"/>
  <c r="J262" i="9"/>
  <c r="H262" i="9"/>
  <c r="G262" i="9"/>
  <c r="F262" i="9"/>
  <c r="E262" i="9"/>
  <c r="D262" i="9"/>
  <c r="C262" i="9"/>
  <c r="B262" i="9"/>
  <c r="A262" i="9"/>
  <c r="AP261" i="9"/>
  <c r="AO261" i="9"/>
  <c r="AN261" i="9"/>
  <c r="AM261" i="9"/>
  <c r="AJ261" i="9"/>
  <c r="AI261" i="9"/>
  <c r="AH261" i="9"/>
  <c r="AG261" i="9"/>
  <c r="E261" i="9"/>
  <c r="D261" i="9"/>
  <c r="C261" i="9"/>
  <c r="B261" i="9"/>
  <c r="A261" i="9"/>
  <c r="AP260" i="9"/>
  <c r="AO260" i="9"/>
  <c r="AK260" i="9"/>
  <c r="AJ260" i="9"/>
  <c r="AI260" i="9"/>
  <c r="AH260" i="9"/>
  <c r="AG260" i="9"/>
  <c r="AF260" i="9"/>
  <c r="AE260" i="9"/>
  <c r="AD260" i="9"/>
  <c r="U260" i="9"/>
  <c r="T260" i="9"/>
  <c r="S260" i="9"/>
  <c r="R260" i="9"/>
  <c r="Q260" i="9"/>
  <c r="P260" i="9"/>
  <c r="O260" i="9"/>
  <c r="N260" i="9"/>
  <c r="K260" i="9"/>
  <c r="J260" i="9"/>
  <c r="I260" i="9"/>
  <c r="H260" i="9"/>
  <c r="G260" i="9"/>
  <c r="F260" i="9"/>
  <c r="E260" i="9"/>
  <c r="D260" i="9"/>
  <c r="C260" i="9"/>
  <c r="B260" i="9"/>
  <c r="A260" i="9"/>
  <c r="AP259" i="9"/>
  <c r="AO259" i="9"/>
  <c r="AK259" i="9"/>
  <c r="AJ259" i="9"/>
  <c r="AI259" i="9"/>
  <c r="AH259" i="9"/>
  <c r="AG259" i="9"/>
  <c r="AF259" i="9"/>
  <c r="AE259" i="9"/>
  <c r="AD259" i="9"/>
  <c r="T259" i="9"/>
  <c r="S259" i="9"/>
  <c r="R259" i="9"/>
  <c r="Q259" i="9"/>
  <c r="P259" i="9"/>
  <c r="O259" i="9"/>
  <c r="K259" i="9"/>
  <c r="J259" i="9"/>
  <c r="H259" i="9"/>
  <c r="G259" i="9"/>
  <c r="F259" i="9"/>
  <c r="E259" i="9"/>
  <c r="D259" i="9"/>
  <c r="C259" i="9"/>
  <c r="B259" i="9"/>
  <c r="A259" i="9"/>
  <c r="AP258" i="9"/>
  <c r="AO258" i="9"/>
  <c r="AK258" i="9"/>
  <c r="AJ258" i="9"/>
  <c r="AI258" i="9"/>
  <c r="AH258" i="9"/>
  <c r="AG258" i="9"/>
  <c r="AF258" i="9"/>
  <c r="AE258" i="9"/>
  <c r="AD258" i="9"/>
  <c r="U258" i="9"/>
  <c r="T258" i="9"/>
  <c r="S258" i="9"/>
  <c r="R258" i="9"/>
  <c r="Q258" i="9"/>
  <c r="P258" i="9"/>
  <c r="O258" i="9"/>
  <c r="N258" i="9"/>
  <c r="K258" i="9"/>
  <c r="J258" i="9"/>
  <c r="I258" i="9"/>
  <c r="H258" i="9"/>
  <c r="G258" i="9"/>
  <c r="F258" i="9"/>
  <c r="E258" i="9"/>
  <c r="D258" i="9"/>
  <c r="C258" i="9"/>
  <c r="B258" i="9"/>
  <c r="A258" i="9"/>
  <c r="AP257" i="9"/>
  <c r="AO257" i="9"/>
  <c r="AN257" i="9"/>
  <c r="AM257" i="9"/>
  <c r="AK257" i="9"/>
  <c r="AJ257" i="9"/>
  <c r="AI257" i="9"/>
  <c r="AH257" i="9"/>
  <c r="AG257" i="9"/>
  <c r="AF257" i="9"/>
  <c r="AE257" i="9"/>
  <c r="AD257" i="9"/>
  <c r="T257" i="9"/>
  <c r="S257" i="9"/>
  <c r="R257" i="9"/>
  <c r="Q257" i="9"/>
  <c r="P257" i="9"/>
  <c r="O257" i="9"/>
  <c r="N257" i="9"/>
  <c r="K257" i="9"/>
  <c r="J257" i="9"/>
  <c r="I257" i="9"/>
  <c r="H257" i="9"/>
  <c r="G257" i="9"/>
  <c r="F257" i="9"/>
  <c r="E257" i="9"/>
  <c r="D257" i="9"/>
  <c r="C257" i="9"/>
  <c r="B257" i="9"/>
  <c r="A257" i="9"/>
  <c r="AP256" i="9"/>
  <c r="AO256" i="9"/>
  <c r="AK256" i="9"/>
  <c r="AJ256" i="9"/>
  <c r="AI256" i="9"/>
  <c r="AH256" i="9"/>
  <c r="AG256" i="9"/>
  <c r="AF256" i="9"/>
  <c r="AE256" i="9"/>
  <c r="AD256" i="9"/>
  <c r="U256" i="9"/>
  <c r="T256" i="9"/>
  <c r="S256" i="9"/>
  <c r="R256" i="9"/>
  <c r="Q256" i="9"/>
  <c r="P256" i="9"/>
  <c r="O256" i="9"/>
  <c r="N256" i="9"/>
  <c r="K256" i="9"/>
  <c r="J256" i="9"/>
  <c r="H256" i="9"/>
  <c r="G256" i="9"/>
  <c r="F256" i="9"/>
  <c r="E256" i="9"/>
  <c r="D256" i="9"/>
  <c r="C256" i="9"/>
  <c r="B256" i="9"/>
  <c r="A256" i="9"/>
  <c r="AP255" i="9"/>
  <c r="AO255" i="9"/>
  <c r="AN255" i="9"/>
  <c r="AM255" i="9"/>
  <c r="AK255" i="9"/>
  <c r="AJ255" i="9"/>
  <c r="AI255" i="9"/>
  <c r="AH255" i="9"/>
  <c r="AG255" i="9"/>
  <c r="AF255" i="9"/>
  <c r="AE255" i="9"/>
  <c r="AD255" i="9"/>
  <c r="T255" i="9"/>
  <c r="S255" i="9"/>
  <c r="R255" i="9"/>
  <c r="Q255" i="9"/>
  <c r="P255" i="9"/>
  <c r="O255" i="9"/>
  <c r="N255" i="9"/>
  <c r="M255" i="9"/>
  <c r="L255" i="9"/>
  <c r="K255" i="9"/>
  <c r="J255" i="9"/>
  <c r="I255" i="9"/>
  <c r="H255" i="9"/>
  <c r="G255" i="9"/>
  <c r="F255" i="9"/>
  <c r="E255" i="9"/>
  <c r="D255" i="9"/>
  <c r="C255" i="9"/>
  <c r="B255" i="9"/>
  <c r="A255" i="9"/>
  <c r="AP254" i="9"/>
  <c r="AO254" i="9"/>
  <c r="AN254" i="9"/>
  <c r="AM254" i="9"/>
  <c r="AK254" i="9"/>
  <c r="AJ254" i="9"/>
  <c r="AI254" i="9"/>
  <c r="AH254" i="9"/>
  <c r="AG254" i="9"/>
  <c r="AF254" i="9"/>
  <c r="AE254" i="9"/>
  <c r="AD254" i="9"/>
  <c r="U254" i="9"/>
  <c r="T254" i="9"/>
  <c r="S254" i="9"/>
  <c r="R254" i="9"/>
  <c r="Q254" i="9"/>
  <c r="P254" i="9"/>
  <c r="O254" i="9"/>
  <c r="N254" i="9"/>
  <c r="K254" i="9"/>
  <c r="J254" i="9"/>
  <c r="I254" i="9"/>
  <c r="H254" i="9"/>
  <c r="G254" i="9"/>
  <c r="F254" i="9"/>
  <c r="E254" i="9"/>
  <c r="D254" i="9"/>
  <c r="C254" i="9"/>
  <c r="B254" i="9"/>
  <c r="A254" i="9"/>
  <c r="AP253" i="9"/>
  <c r="AO253" i="9"/>
  <c r="AK253" i="9"/>
  <c r="AJ253" i="9"/>
  <c r="AI253" i="9"/>
  <c r="AH253" i="9"/>
  <c r="AG253" i="9"/>
  <c r="AF253" i="9"/>
  <c r="AE253" i="9"/>
  <c r="AD253" i="9"/>
  <c r="U253" i="9"/>
  <c r="T253" i="9"/>
  <c r="S253" i="9"/>
  <c r="R253" i="9"/>
  <c r="Q253" i="9"/>
  <c r="P253" i="9"/>
  <c r="O253" i="9"/>
  <c r="N253" i="9"/>
  <c r="K253" i="9"/>
  <c r="J253" i="9"/>
  <c r="I253" i="9"/>
  <c r="H253" i="9"/>
  <c r="G253" i="9"/>
  <c r="F253" i="9"/>
  <c r="E253" i="9"/>
  <c r="D253" i="9"/>
  <c r="C253" i="9"/>
  <c r="B253" i="9"/>
  <c r="A253" i="9"/>
  <c r="AP252" i="9"/>
  <c r="AO252" i="9"/>
  <c r="AK252" i="9"/>
  <c r="AJ252" i="9"/>
  <c r="AI252" i="9"/>
  <c r="AH252" i="9"/>
  <c r="AG252" i="9"/>
  <c r="AF252" i="9"/>
  <c r="AE252" i="9"/>
  <c r="AD252" i="9"/>
  <c r="U252" i="9"/>
  <c r="T252" i="9"/>
  <c r="S252" i="9"/>
  <c r="R252" i="9"/>
  <c r="Q252" i="9"/>
  <c r="P252" i="9"/>
  <c r="O252" i="9"/>
  <c r="N252" i="9"/>
  <c r="K252" i="9"/>
  <c r="J252" i="9"/>
  <c r="I252" i="9"/>
  <c r="H252" i="9"/>
  <c r="G252" i="9"/>
  <c r="F252" i="9"/>
  <c r="E252" i="9"/>
  <c r="D252" i="9"/>
  <c r="C252" i="9"/>
  <c r="B252" i="9"/>
  <c r="A252" i="9"/>
  <c r="AP251" i="9"/>
  <c r="AO251" i="9"/>
  <c r="AK251" i="9"/>
  <c r="AJ251" i="9"/>
  <c r="AI251" i="9"/>
  <c r="AH251" i="9"/>
  <c r="AG251" i="9"/>
  <c r="AF251" i="9"/>
  <c r="AE251" i="9"/>
  <c r="AD251" i="9"/>
  <c r="X251" i="9"/>
  <c r="V251" i="9"/>
  <c r="T251" i="9"/>
  <c r="S251" i="9"/>
  <c r="R251" i="9"/>
  <c r="Q251" i="9"/>
  <c r="P251" i="9"/>
  <c r="O251" i="9"/>
  <c r="J251" i="9"/>
  <c r="H251" i="9"/>
  <c r="G251" i="9"/>
  <c r="F251" i="9"/>
  <c r="E251" i="9"/>
  <c r="D251" i="9"/>
  <c r="C251" i="9"/>
  <c r="B251" i="9"/>
  <c r="A251" i="9"/>
  <c r="AP250" i="9"/>
  <c r="AO250" i="9"/>
  <c r="AK250" i="9"/>
  <c r="AJ250" i="9"/>
  <c r="AI250" i="9"/>
  <c r="AH250" i="9"/>
  <c r="AG250" i="9"/>
  <c r="J250" i="9"/>
  <c r="H250" i="9"/>
  <c r="G250" i="9"/>
  <c r="F250" i="9"/>
  <c r="E250" i="9"/>
  <c r="C250" i="9"/>
  <c r="B250" i="9"/>
  <c r="A250" i="9"/>
  <c r="AP249" i="9"/>
  <c r="AO249" i="9"/>
  <c r="AK249" i="9"/>
  <c r="AJ249" i="9"/>
  <c r="AI249" i="9"/>
  <c r="AH249" i="9"/>
  <c r="AG249" i="9"/>
  <c r="AF249" i="9"/>
  <c r="AE249" i="9"/>
  <c r="AD249" i="9"/>
  <c r="U249" i="9"/>
  <c r="T249" i="9"/>
  <c r="S249" i="9"/>
  <c r="R249" i="9"/>
  <c r="Q249" i="9"/>
  <c r="P249" i="9"/>
  <c r="O249" i="9"/>
  <c r="J249" i="9"/>
  <c r="H249" i="9"/>
  <c r="G249" i="9"/>
  <c r="F249" i="9"/>
  <c r="E249" i="9"/>
  <c r="D249" i="9"/>
  <c r="C249" i="9"/>
  <c r="B249" i="9"/>
  <c r="A249" i="9"/>
  <c r="AP248" i="9"/>
  <c r="AO248" i="9"/>
  <c r="AN248" i="9"/>
  <c r="AM248" i="9"/>
  <c r="AK248" i="9"/>
  <c r="AJ248" i="9"/>
  <c r="AI248" i="9"/>
  <c r="AH248" i="9"/>
  <c r="AG248" i="9"/>
  <c r="AF248" i="9"/>
  <c r="AE248" i="9"/>
  <c r="AD248" i="9"/>
  <c r="U248" i="9"/>
  <c r="T248" i="9"/>
  <c r="S248" i="9"/>
  <c r="R248" i="9"/>
  <c r="Q248" i="9"/>
  <c r="P248" i="9"/>
  <c r="O248" i="9"/>
  <c r="N248" i="9"/>
  <c r="J248" i="9"/>
  <c r="H248" i="9"/>
  <c r="G248" i="9"/>
  <c r="F248" i="9"/>
  <c r="E248" i="9"/>
  <c r="D248" i="9"/>
  <c r="C248" i="9"/>
  <c r="B248" i="9"/>
  <c r="A248" i="9"/>
  <c r="AP247" i="9"/>
  <c r="AO247" i="9"/>
  <c r="AN247" i="9"/>
  <c r="AM247" i="9"/>
  <c r="AK247" i="9"/>
  <c r="AJ247" i="9"/>
  <c r="AI247" i="9"/>
  <c r="AH247" i="9"/>
  <c r="AG247" i="9"/>
  <c r="AF247" i="9"/>
  <c r="Y247" i="9"/>
  <c r="T247" i="9"/>
  <c r="S247" i="9"/>
  <c r="R247" i="9"/>
  <c r="N247" i="9"/>
  <c r="J247" i="9"/>
  <c r="H247" i="9"/>
  <c r="G247" i="9"/>
  <c r="F247" i="9"/>
  <c r="E247" i="9"/>
  <c r="D247" i="9"/>
  <c r="C247" i="9"/>
  <c r="B247" i="9"/>
  <c r="A247" i="9"/>
  <c r="AP246" i="9"/>
  <c r="AO246" i="9"/>
  <c r="AN246" i="9"/>
  <c r="AM246" i="9"/>
  <c r="AK246" i="9"/>
  <c r="AJ246" i="9"/>
  <c r="AI246" i="9"/>
  <c r="AH246" i="9"/>
  <c r="AG246" i="9"/>
  <c r="AF246" i="9"/>
  <c r="AE246" i="9"/>
  <c r="AD246" i="9"/>
  <c r="AA246" i="9"/>
  <c r="V246" i="9"/>
  <c r="U246" i="9"/>
  <c r="T246" i="9"/>
  <c r="S246" i="9"/>
  <c r="R246" i="9"/>
  <c r="Q246" i="9"/>
  <c r="P246" i="9"/>
  <c r="O246" i="9"/>
  <c r="J246" i="9"/>
  <c r="H246" i="9"/>
  <c r="G246" i="9"/>
  <c r="F246" i="9"/>
  <c r="E246" i="9"/>
  <c r="D246" i="9"/>
  <c r="C246" i="9"/>
  <c r="B246" i="9"/>
  <c r="A246" i="9"/>
  <c r="AP245" i="9"/>
  <c r="AO245" i="9"/>
  <c r="AK245" i="9"/>
  <c r="AJ245" i="9"/>
  <c r="AI245" i="9"/>
  <c r="AH245" i="9"/>
  <c r="AG245" i="9"/>
  <c r="AF245" i="9"/>
  <c r="AE245" i="9"/>
  <c r="AD245" i="9"/>
  <c r="V245" i="9"/>
  <c r="U245" i="9"/>
  <c r="T245" i="9"/>
  <c r="S245" i="9"/>
  <c r="R245" i="9"/>
  <c r="Q245" i="9"/>
  <c r="P245" i="9"/>
  <c r="O245" i="9"/>
  <c r="J245" i="9"/>
  <c r="H245" i="9"/>
  <c r="G245" i="9"/>
  <c r="F245" i="9"/>
  <c r="E245" i="9"/>
  <c r="D245" i="9"/>
  <c r="C245" i="9"/>
  <c r="B245" i="9"/>
  <c r="A245" i="9"/>
  <c r="AP244" i="9"/>
  <c r="AO244" i="9"/>
  <c r="AN244" i="9"/>
  <c r="AM244" i="9"/>
  <c r="AK244" i="9"/>
  <c r="AJ244" i="9"/>
  <c r="AI244" i="9"/>
  <c r="AH244" i="9"/>
  <c r="AG244" i="9"/>
  <c r="AF244" i="9"/>
  <c r="AE244" i="9"/>
  <c r="AD244" i="9"/>
  <c r="T244" i="9"/>
  <c r="S244" i="9"/>
  <c r="R244" i="9"/>
  <c r="Q244" i="9"/>
  <c r="P244" i="9"/>
  <c r="O244" i="9"/>
  <c r="L244" i="9"/>
  <c r="K244" i="9"/>
  <c r="J244" i="9"/>
  <c r="H244" i="9"/>
  <c r="G244" i="9"/>
  <c r="F244" i="9"/>
  <c r="E244" i="9"/>
  <c r="D244" i="9"/>
  <c r="C244" i="9"/>
  <c r="B244" i="9"/>
  <c r="A244" i="9"/>
  <c r="AP243" i="9"/>
  <c r="AO243" i="9"/>
  <c r="AK243" i="9"/>
  <c r="AJ243" i="9"/>
  <c r="AI243" i="9"/>
  <c r="AH243" i="9"/>
  <c r="AG243" i="9"/>
  <c r="AF243" i="9"/>
  <c r="AE243" i="9"/>
  <c r="AD243" i="9"/>
  <c r="U243" i="9"/>
  <c r="T243" i="9"/>
  <c r="S243" i="9"/>
  <c r="R243" i="9"/>
  <c r="Q243" i="9"/>
  <c r="P243" i="9"/>
  <c r="O243" i="9"/>
  <c r="K243" i="9"/>
  <c r="J243" i="9"/>
  <c r="H243" i="9"/>
  <c r="G243" i="9"/>
  <c r="F243" i="9"/>
  <c r="E243" i="9"/>
  <c r="D243" i="9"/>
  <c r="C243" i="9"/>
  <c r="B243" i="9"/>
  <c r="A243" i="9"/>
  <c r="AP242" i="9"/>
  <c r="AO242" i="9"/>
  <c r="AN242" i="9"/>
  <c r="AM242" i="9"/>
  <c r="AK242" i="9"/>
  <c r="AJ242" i="9"/>
  <c r="AI242" i="9"/>
  <c r="AH242" i="9"/>
  <c r="AG242" i="9"/>
  <c r="AF242" i="9"/>
  <c r="AD242" i="9"/>
  <c r="U242" i="9"/>
  <c r="T242" i="9"/>
  <c r="S242" i="9"/>
  <c r="R242" i="9"/>
  <c r="Q242" i="9"/>
  <c r="P242" i="9"/>
  <c r="O242" i="9"/>
  <c r="K242" i="9"/>
  <c r="J242" i="9"/>
  <c r="H242" i="9"/>
  <c r="G242" i="9"/>
  <c r="F242" i="9"/>
  <c r="E242" i="9"/>
  <c r="D242" i="9"/>
  <c r="C242" i="9"/>
  <c r="B242" i="9"/>
  <c r="A242" i="9"/>
  <c r="AP241" i="9"/>
  <c r="AO241" i="9"/>
  <c r="AN241" i="9"/>
  <c r="AM241" i="9"/>
  <c r="AK241" i="9"/>
  <c r="AJ241" i="9"/>
  <c r="AI241" i="9"/>
  <c r="AH241" i="9"/>
  <c r="AG241" i="9"/>
  <c r="AF241" i="9"/>
  <c r="AE241" i="9"/>
  <c r="AD241" i="9"/>
  <c r="T241" i="9"/>
  <c r="S241" i="9"/>
  <c r="R241" i="9"/>
  <c r="Q241" i="9"/>
  <c r="P241" i="9"/>
  <c r="O241" i="9"/>
  <c r="L241" i="9"/>
  <c r="K241" i="9"/>
  <c r="J241" i="9"/>
  <c r="I241" i="9"/>
  <c r="H241" i="9"/>
  <c r="G241" i="9"/>
  <c r="F241" i="9"/>
  <c r="E241" i="9"/>
  <c r="D241" i="9"/>
  <c r="C241" i="9"/>
  <c r="B241" i="9"/>
  <c r="A241" i="9"/>
  <c r="AP240" i="9"/>
  <c r="AO240" i="9"/>
  <c r="AK240" i="9"/>
  <c r="AJ240" i="9"/>
  <c r="AI240" i="9"/>
  <c r="AH240" i="9"/>
  <c r="AG240" i="9"/>
  <c r="AF240" i="9"/>
  <c r="AE240" i="9"/>
  <c r="AD240" i="9"/>
  <c r="T240" i="9"/>
  <c r="S240" i="9"/>
  <c r="R240" i="9"/>
  <c r="Q240" i="9"/>
  <c r="P240" i="9"/>
  <c r="O240" i="9"/>
  <c r="L240" i="9"/>
  <c r="K240" i="9"/>
  <c r="J240" i="9"/>
  <c r="H240" i="9"/>
  <c r="G240" i="9"/>
  <c r="F240" i="9"/>
  <c r="E240" i="9"/>
  <c r="D240" i="9"/>
  <c r="C240" i="9"/>
  <c r="B240" i="9"/>
  <c r="A240" i="9"/>
  <c r="AP239" i="9"/>
  <c r="AO239" i="9"/>
  <c r="AN239" i="9"/>
  <c r="AM239" i="9"/>
  <c r="AK239" i="9"/>
  <c r="AJ239" i="9"/>
  <c r="AI239" i="9"/>
  <c r="AH239" i="9"/>
  <c r="AG239" i="9"/>
  <c r="AF239" i="9"/>
  <c r="AE239" i="9"/>
  <c r="AD239" i="9"/>
  <c r="U239" i="9"/>
  <c r="T239" i="9"/>
  <c r="S239" i="9"/>
  <c r="R239" i="9"/>
  <c r="Q239" i="9"/>
  <c r="P239" i="9"/>
  <c r="O239" i="9"/>
  <c r="K239" i="9"/>
  <c r="J239" i="9"/>
  <c r="I239" i="9"/>
  <c r="H239" i="9"/>
  <c r="G239" i="9"/>
  <c r="F239" i="9"/>
  <c r="E239" i="9"/>
  <c r="D239" i="9"/>
  <c r="C239" i="9"/>
  <c r="B239" i="9"/>
  <c r="A239" i="9"/>
  <c r="AP238" i="9"/>
  <c r="AO238" i="9"/>
  <c r="AN238" i="9"/>
  <c r="AM238" i="9"/>
  <c r="AK238" i="9"/>
  <c r="AJ238" i="9"/>
  <c r="AI238" i="9"/>
  <c r="AH238" i="9"/>
  <c r="AG238" i="9"/>
  <c r="AF238" i="9"/>
  <c r="AE238" i="9"/>
  <c r="AD238" i="9"/>
  <c r="U238" i="9"/>
  <c r="T238" i="9"/>
  <c r="S238" i="9"/>
  <c r="R238" i="9"/>
  <c r="Q238" i="9"/>
  <c r="P238" i="9"/>
  <c r="O238" i="9"/>
  <c r="N238" i="9"/>
  <c r="K238" i="9"/>
  <c r="J238" i="9"/>
  <c r="I238" i="9"/>
  <c r="H238" i="9"/>
  <c r="G238" i="9"/>
  <c r="F238" i="9"/>
  <c r="E238" i="9"/>
  <c r="D238" i="9"/>
  <c r="C238" i="9"/>
  <c r="B238" i="9"/>
  <c r="A238" i="9"/>
  <c r="AP237" i="9"/>
  <c r="AO237" i="9"/>
  <c r="AN237" i="9"/>
  <c r="AM237" i="9"/>
  <c r="AK237" i="9"/>
  <c r="AJ237" i="9"/>
  <c r="AI237" i="9"/>
  <c r="AH237" i="9"/>
  <c r="AG237" i="9"/>
  <c r="AF237" i="9"/>
  <c r="AE237" i="9"/>
  <c r="AD237" i="9"/>
  <c r="T237" i="9"/>
  <c r="S237" i="9"/>
  <c r="R237" i="9"/>
  <c r="Q237" i="9"/>
  <c r="P237" i="9"/>
  <c r="O237" i="9"/>
  <c r="N237" i="9"/>
  <c r="K237" i="9"/>
  <c r="J237" i="9"/>
  <c r="H237" i="9"/>
  <c r="G237" i="9"/>
  <c r="F237" i="9"/>
  <c r="E237" i="9"/>
  <c r="D237" i="9"/>
  <c r="C237" i="9"/>
  <c r="B237" i="9"/>
  <c r="A237" i="9"/>
  <c r="AP236" i="9"/>
  <c r="AO236" i="9"/>
  <c r="AN236" i="9"/>
  <c r="AM236" i="9"/>
  <c r="AK236" i="9"/>
  <c r="AJ236" i="9"/>
  <c r="AI236" i="9"/>
  <c r="AH236" i="9"/>
  <c r="AG236" i="9"/>
  <c r="AF236" i="9"/>
  <c r="AE236" i="9"/>
  <c r="AD236" i="9"/>
  <c r="AA236" i="9"/>
  <c r="W236" i="9"/>
  <c r="V236" i="9"/>
  <c r="T236" i="9"/>
  <c r="S236" i="9"/>
  <c r="R236" i="9"/>
  <c r="Q236" i="9"/>
  <c r="P236" i="9"/>
  <c r="O236" i="9"/>
  <c r="N236" i="9"/>
  <c r="K236" i="9"/>
  <c r="J236" i="9"/>
  <c r="I236" i="9"/>
  <c r="H236" i="9"/>
  <c r="G236" i="9"/>
  <c r="F236" i="9"/>
  <c r="E236" i="9"/>
  <c r="D236" i="9"/>
  <c r="C236" i="9"/>
  <c r="B236" i="9"/>
  <c r="A236" i="9"/>
  <c r="AP235" i="9"/>
  <c r="AO235" i="9"/>
  <c r="AN235" i="9"/>
  <c r="AM235" i="9"/>
  <c r="AK235" i="9"/>
  <c r="AJ235" i="9"/>
  <c r="AI235" i="9"/>
  <c r="AH235" i="9"/>
  <c r="AG235" i="9"/>
  <c r="AF235" i="9"/>
  <c r="AE235" i="9"/>
  <c r="AD235" i="9"/>
  <c r="AA235" i="9"/>
  <c r="U235" i="9"/>
  <c r="T235" i="9"/>
  <c r="S235" i="9"/>
  <c r="R235" i="9"/>
  <c r="Q235" i="9"/>
  <c r="P235" i="9"/>
  <c r="O235" i="9"/>
  <c r="N235" i="9"/>
  <c r="K235" i="9"/>
  <c r="J235" i="9"/>
  <c r="H235" i="9"/>
  <c r="G235" i="9"/>
  <c r="F235" i="9"/>
  <c r="E235" i="9"/>
  <c r="D235" i="9"/>
  <c r="C235" i="9"/>
  <c r="B235" i="9"/>
  <c r="A235" i="9"/>
  <c r="AP234" i="9"/>
  <c r="AO234" i="9"/>
  <c r="AN234" i="9"/>
  <c r="AM234" i="9"/>
  <c r="AK234" i="9"/>
  <c r="AJ234" i="9"/>
  <c r="AI234" i="9"/>
  <c r="AH234" i="9"/>
  <c r="AG234" i="9"/>
  <c r="AF234" i="9"/>
  <c r="AE234" i="9"/>
  <c r="AD234" i="9"/>
  <c r="AA234" i="9"/>
  <c r="X234" i="9"/>
  <c r="W234" i="9"/>
  <c r="V234" i="9"/>
  <c r="T234" i="9"/>
  <c r="S234" i="9"/>
  <c r="Q234" i="9"/>
  <c r="P234" i="9"/>
  <c r="O234" i="9"/>
  <c r="K234" i="9"/>
  <c r="J234" i="9"/>
  <c r="H234" i="9"/>
  <c r="G234" i="9"/>
  <c r="F234" i="9"/>
  <c r="E234" i="9"/>
  <c r="D234" i="9"/>
  <c r="C234" i="9"/>
  <c r="B234" i="9"/>
  <c r="A234" i="9"/>
  <c r="AP233" i="9"/>
  <c r="AO233" i="9"/>
  <c r="AK233" i="9"/>
  <c r="AJ233" i="9"/>
  <c r="AI233" i="9"/>
  <c r="AH233" i="9"/>
  <c r="AG233" i="9"/>
  <c r="AF233" i="9"/>
  <c r="AE233" i="9"/>
  <c r="AD233" i="9"/>
  <c r="AB233" i="9"/>
  <c r="AA233" i="9"/>
  <c r="X233" i="9"/>
  <c r="U233" i="9"/>
  <c r="T233" i="9"/>
  <c r="S233" i="9"/>
  <c r="R233" i="9"/>
  <c r="Q233" i="9"/>
  <c r="P233" i="9"/>
  <c r="O233" i="9"/>
  <c r="N233" i="9"/>
  <c r="K233" i="9"/>
  <c r="J233" i="9"/>
  <c r="H233" i="9"/>
  <c r="G233" i="9"/>
  <c r="F233" i="9"/>
  <c r="E233" i="9"/>
  <c r="D233" i="9"/>
  <c r="C233" i="9"/>
  <c r="B233" i="9"/>
  <c r="A233" i="9"/>
  <c r="AP232" i="9"/>
  <c r="AO232" i="9"/>
  <c r="AN232" i="9"/>
  <c r="AM232" i="9"/>
  <c r="AK232" i="9"/>
  <c r="AJ232" i="9"/>
  <c r="AI232" i="9"/>
  <c r="AH232" i="9"/>
  <c r="AG232" i="9"/>
  <c r="AF232" i="9"/>
  <c r="AD232" i="9"/>
  <c r="Z232" i="9"/>
  <c r="T232" i="9"/>
  <c r="S232" i="9"/>
  <c r="R232" i="9"/>
  <c r="Q232" i="9"/>
  <c r="P232" i="9"/>
  <c r="O232" i="9"/>
  <c r="M232" i="9"/>
  <c r="L232" i="9"/>
  <c r="K232" i="9"/>
  <c r="J232" i="9"/>
  <c r="H232" i="9"/>
  <c r="G232" i="9"/>
  <c r="F232" i="9"/>
  <c r="E232" i="9"/>
  <c r="D232" i="9"/>
  <c r="C232" i="9"/>
  <c r="B232" i="9"/>
  <c r="A232" i="9"/>
  <c r="AP231" i="9"/>
  <c r="AO231" i="9"/>
  <c r="AK231" i="9"/>
  <c r="AJ231" i="9"/>
  <c r="AI231" i="9"/>
  <c r="AH231" i="9"/>
  <c r="AG231" i="9"/>
  <c r="AF231" i="9"/>
  <c r="AE231" i="9"/>
  <c r="AD231" i="9"/>
  <c r="Z231" i="9"/>
  <c r="U231" i="9"/>
  <c r="T231" i="9"/>
  <c r="S231" i="9"/>
  <c r="R231" i="9"/>
  <c r="Q231" i="9"/>
  <c r="P231" i="9"/>
  <c r="O231" i="9"/>
  <c r="N231" i="9"/>
  <c r="K231" i="9"/>
  <c r="J231" i="9"/>
  <c r="H231" i="9"/>
  <c r="G231" i="9"/>
  <c r="F231" i="9"/>
  <c r="E231" i="9"/>
  <c r="D231" i="9"/>
  <c r="C231" i="9"/>
  <c r="B231" i="9"/>
  <c r="A231" i="9"/>
  <c r="AP230" i="9"/>
  <c r="AO230" i="9"/>
  <c r="AK230" i="9"/>
  <c r="AJ230" i="9"/>
  <c r="AI230" i="9"/>
  <c r="AH230" i="9"/>
  <c r="AG230" i="9"/>
  <c r="AF230" i="9"/>
  <c r="AE230" i="9"/>
  <c r="AD230" i="9"/>
  <c r="U230" i="9"/>
  <c r="T230" i="9"/>
  <c r="S230" i="9"/>
  <c r="R230" i="9"/>
  <c r="Q230" i="9"/>
  <c r="P230" i="9"/>
  <c r="O230" i="9"/>
  <c r="N230" i="9"/>
  <c r="K230" i="9"/>
  <c r="J230" i="9"/>
  <c r="H230" i="9"/>
  <c r="G230" i="9"/>
  <c r="F230" i="9"/>
  <c r="E230" i="9"/>
  <c r="D230" i="9"/>
  <c r="C230" i="9"/>
  <c r="B230" i="9"/>
  <c r="A230" i="9"/>
  <c r="AP229" i="9"/>
  <c r="AO229" i="9"/>
  <c r="AK229" i="9"/>
  <c r="AJ229" i="9"/>
  <c r="AI229" i="9"/>
  <c r="AH229" i="9"/>
  <c r="AG229" i="9"/>
  <c r="AF229" i="9"/>
  <c r="AE229" i="9"/>
  <c r="AD229" i="9"/>
  <c r="U229" i="9"/>
  <c r="T229" i="9"/>
  <c r="S229" i="9"/>
  <c r="R229" i="9"/>
  <c r="Q229" i="9"/>
  <c r="P229" i="9"/>
  <c r="O229" i="9"/>
  <c r="K229" i="9"/>
  <c r="J229" i="9"/>
  <c r="H229" i="9"/>
  <c r="G229" i="9"/>
  <c r="F229" i="9"/>
  <c r="E229" i="9"/>
  <c r="D229" i="9"/>
  <c r="C229" i="9"/>
  <c r="B229" i="9"/>
  <c r="A229" i="9"/>
  <c r="AP228" i="9"/>
  <c r="AO228" i="9"/>
  <c r="AK228" i="9"/>
  <c r="AJ228" i="9"/>
  <c r="AI228" i="9"/>
  <c r="AH228" i="9"/>
  <c r="AG228" i="9"/>
  <c r="AF228" i="9"/>
  <c r="AE228" i="9"/>
  <c r="AD228" i="9"/>
  <c r="AA228" i="9"/>
  <c r="U228" i="9"/>
  <c r="T228" i="9"/>
  <c r="S228" i="9"/>
  <c r="R228" i="9"/>
  <c r="Q228" i="9"/>
  <c r="P228" i="9"/>
  <c r="O228" i="9"/>
  <c r="K228" i="9"/>
  <c r="J228" i="9"/>
  <c r="H228" i="9"/>
  <c r="G228" i="9"/>
  <c r="F228" i="9"/>
  <c r="E228" i="9"/>
  <c r="D228" i="9"/>
  <c r="C228" i="9"/>
  <c r="B228" i="9"/>
  <c r="A228" i="9"/>
  <c r="AP227" i="9"/>
  <c r="AO227" i="9"/>
  <c r="AN227" i="9"/>
  <c r="AM227" i="9"/>
  <c r="AK227" i="9"/>
  <c r="AJ227" i="9"/>
  <c r="AI227" i="9"/>
  <c r="AH227" i="9"/>
  <c r="AG227" i="9"/>
  <c r="AF227" i="9"/>
  <c r="AE227" i="9"/>
  <c r="AD227" i="9"/>
  <c r="W227" i="9"/>
  <c r="T227" i="9"/>
  <c r="S227" i="9"/>
  <c r="R227" i="9"/>
  <c r="Q227" i="9"/>
  <c r="P227" i="9"/>
  <c r="O227" i="9"/>
  <c r="L227" i="9"/>
  <c r="K227" i="9"/>
  <c r="J227" i="9"/>
  <c r="H227" i="9"/>
  <c r="G227" i="9"/>
  <c r="F227" i="9"/>
  <c r="E227" i="9"/>
  <c r="D227" i="9"/>
  <c r="C227" i="9"/>
  <c r="B227" i="9"/>
  <c r="A227" i="9"/>
  <c r="AP226" i="9"/>
  <c r="AO226" i="9"/>
  <c r="AK226" i="9"/>
  <c r="AJ226" i="9"/>
  <c r="AI226" i="9"/>
  <c r="AH226" i="9"/>
  <c r="AG226" i="9"/>
  <c r="AF226" i="9"/>
  <c r="AD226" i="9"/>
  <c r="AA226" i="9"/>
  <c r="V226" i="9"/>
  <c r="U226" i="9"/>
  <c r="T226" i="9"/>
  <c r="S226" i="9"/>
  <c r="R226" i="9"/>
  <c r="Q226" i="9"/>
  <c r="P226" i="9"/>
  <c r="O226" i="9"/>
  <c r="K226" i="9"/>
  <c r="J226" i="9"/>
  <c r="H226" i="9"/>
  <c r="G226" i="9"/>
  <c r="F226" i="9"/>
  <c r="E226" i="9"/>
  <c r="D226" i="9"/>
  <c r="C226" i="9"/>
  <c r="B226" i="9"/>
  <c r="A226" i="9"/>
  <c r="AP225" i="9"/>
  <c r="AO225" i="9"/>
  <c r="AK225" i="9"/>
  <c r="AJ225" i="9"/>
  <c r="AI225" i="9"/>
  <c r="AH225" i="9"/>
  <c r="AG225" i="9"/>
  <c r="AF225" i="9"/>
  <c r="AE225" i="9"/>
  <c r="AD225" i="9"/>
  <c r="AA225" i="9"/>
  <c r="T225" i="9"/>
  <c r="S225" i="9"/>
  <c r="R225" i="9"/>
  <c r="Q225" i="9"/>
  <c r="P225" i="9"/>
  <c r="O225" i="9"/>
  <c r="N225" i="9"/>
  <c r="L225" i="9"/>
  <c r="K225" i="9"/>
  <c r="J225" i="9"/>
  <c r="I225" i="9"/>
  <c r="H225" i="9"/>
  <c r="G225" i="9"/>
  <c r="F225" i="9"/>
  <c r="E225" i="9"/>
  <c r="D225" i="9"/>
  <c r="C225" i="9"/>
  <c r="B225" i="9"/>
  <c r="A225" i="9"/>
  <c r="AP224" i="9"/>
  <c r="AO224" i="9"/>
  <c r="AK224" i="9"/>
  <c r="AJ224" i="9"/>
  <c r="AI224" i="9"/>
  <c r="AH224" i="9"/>
  <c r="AG224" i="9"/>
  <c r="AF224" i="9"/>
  <c r="AE224" i="9"/>
  <c r="AD224" i="9"/>
  <c r="V224" i="9"/>
  <c r="U224" i="9"/>
  <c r="T224" i="9"/>
  <c r="S224" i="9"/>
  <c r="R224" i="9"/>
  <c r="Q224" i="9"/>
  <c r="P224" i="9"/>
  <c r="O224" i="9"/>
  <c r="N224" i="9"/>
  <c r="K224" i="9"/>
  <c r="J224" i="9"/>
  <c r="H224" i="9"/>
  <c r="G224" i="9"/>
  <c r="F224" i="9"/>
  <c r="E224" i="9"/>
  <c r="D224" i="9"/>
  <c r="C224" i="9"/>
  <c r="B224" i="9"/>
  <c r="A224" i="9"/>
  <c r="AP223" i="9"/>
  <c r="AO223" i="9"/>
  <c r="AN223" i="9"/>
  <c r="AM223" i="9"/>
  <c r="AK223" i="9"/>
  <c r="AJ223" i="9"/>
  <c r="AI223" i="9"/>
  <c r="AH223" i="9"/>
  <c r="AG223" i="9"/>
  <c r="AF223" i="9"/>
  <c r="AD223" i="9"/>
  <c r="U223" i="9"/>
  <c r="T223" i="9"/>
  <c r="S223" i="9"/>
  <c r="R223" i="9"/>
  <c r="Q223" i="9"/>
  <c r="P223" i="9"/>
  <c r="O223" i="9"/>
  <c r="N223" i="9"/>
  <c r="K223" i="9"/>
  <c r="J223" i="9"/>
  <c r="H223" i="9"/>
  <c r="G223" i="9"/>
  <c r="F223" i="9"/>
  <c r="E223" i="9"/>
  <c r="D223" i="9"/>
  <c r="C223" i="9"/>
  <c r="B223" i="9"/>
  <c r="A223" i="9"/>
  <c r="AP222" i="9"/>
  <c r="AO222" i="9"/>
  <c r="AK222" i="9"/>
  <c r="AJ222" i="9"/>
  <c r="AI222" i="9"/>
  <c r="AH222" i="9"/>
  <c r="AG222" i="9"/>
  <c r="AF222" i="9"/>
  <c r="AE222" i="9"/>
  <c r="AD222" i="9"/>
  <c r="AA222" i="9"/>
  <c r="W222" i="9"/>
  <c r="V222" i="9"/>
  <c r="T222" i="9"/>
  <c r="S222" i="9"/>
  <c r="R222" i="9"/>
  <c r="Q222" i="9"/>
  <c r="P222" i="9"/>
  <c r="O222" i="9"/>
  <c r="M222" i="9"/>
  <c r="L222" i="9"/>
  <c r="K222" i="9"/>
  <c r="J222" i="9"/>
  <c r="H222" i="9"/>
  <c r="G222" i="9"/>
  <c r="F222" i="9"/>
  <c r="E222" i="9"/>
  <c r="D222" i="9"/>
  <c r="C222" i="9"/>
  <c r="B222" i="9"/>
  <c r="A222" i="9"/>
  <c r="AP221" i="9"/>
  <c r="AO221" i="9"/>
  <c r="AN221" i="9"/>
  <c r="AM221" i="9"/>
  <c r="AK221" i="9"/>
  <c r="AJ221" i="9"/>
  <c r="AI221" i="9"/>
  <c r="AH221" i="9"/>
  <c r="AG221" i="9"/>
  <c r="AF221" i="9"/>
  <c r="AE221" i="9"/>
  <c r="AD221" i="9"/>
  <c r="V221" i="9"/>
  <c r="U221" i="9"/>
  <c r="T221" i="9"/>
  <c r="S221" i="9"/>
  <c r="R221" i="9"/>
  <c r="Q221" i="9"/>
  <c r="P221" i="9"/>
  <c r="O221" i="9"/>
  <c r="L221" i="9"/>
  <c r="K221" i="9"/>
  <c r="J221" i="9"/>
  <c r="H221" i="9"/>
  <c r="G221" i="9"/>
  <c r="F221" i="9"/>
  <c r="E221" i="9"/>
  <c r="D221" i="9"/>
  <c r="C221" i="9"/>
  <c r="B221" i="9"/>
  <c r="A221" i="9"/>
  <c r="AP220" i="9"/>
  <c r="AO220" i="9"/>
  <c r="AK220" i="9"/>
  <c r="AJ220" i="9"/>
  <c r="AI220" i="9"/>
  <c r="AH220" i="9"/>
  <c r="AG220" i="9"/>
  <c r="AF220" i="9"/>
  <c r="AE220" i="9"/>
  <c r="AD220" i="9"/>
  <c r="Z220" i="9"/>
  <c r="W220" i="9"/>
  <c r="V220" i="9"/>
  <c r="U220" i="9"/>
  <c r="T220" i="9"/>
  <c r="S220" i="9"/>
  <c r="R220" i="9"/>
  <c r="Q220" i="9"/>
  <c r="P220" i="9"/>
  <c r="O220" i="9"/>
  <c r="K220" i="9"/>
  <c r="J220" i="9"/>
  <c r="H220" i="9"/>
  <c r="G220" i="9"/>
  <c r="F220" i="9"/>
  <c r="E220" i="9"/>
  <c r="D220" i="9"/>
  <c r="C220" i="9"/>
  <c r="B220" i="9"/>
  <c r="A220" i="9"/>
  <c r="AP219" i="9"/>
  <c r="AO219" i="9"/>
  <c r="AK219" i="9"/>
  <c r="AJ219" i="9"/>
  <c r="AI219" i="9"/>
  <c r="AH219" i="9"/>
  <c r="AG219" i="9"/>
  <c r="AF219" i="9"/>
  <c r="AE219" i="9"/>
  <c r="AD219" i="9"/>
  <c r="V219" i="9"/>
  <c r="U219" i="9"/>
  <c r="T219" i="9"/>
  <c r="S219" i="9"/>
  <c r="R219" i="9"/>
  <c r="Q219" i="9"/>
  <c r="P219" i="9"/>
  <c r="O219" i="9"/>
  <c r="K219" i="9"/>
  <c r="J219" i="9"/>
  <c r="H219" i="9"/>
  <c r="G219" i="9"/>
  <c r="F219" i="9"/>
  <c r="E219" i="9"/>
  <c r="D219" i="9"/>
  <c r="C219" i="9"/>
  <c r="B219" i="9"/>
  <c r="A219" i="9"/>
  <c r="AP218" i="9"/>
  <c r="AO218" i="9"/>
  <c r="AK218" i="9"/>
  <c r="AJ218" i="9"/>
  <c r="AI218" i="9"/>
  <c r="AH218" i="9"/>
  <c r="AG218" i="9"/>
  <c r="AF218" i="9"/>
  <c r="AE218" i="9"/>
  <c r="AD218" i="9"/>
  <c r="AB218" i="9"/>
  <c r="Z218" i="9"/>
  <c r="V218" i="9"/>
  <c r="U218" i="9"/>
  <c r="T218" i="9"/>
  <c r="S218" i="9"/>
  <c r="R218" i="9"/>
  <c r="Q218" i="9"/>
  <c r="P218" i="9"/>
  <c r="O218" i="9"/>
  <c r="K218" i="9"/>
  <c r="J218" i="9"/>
  <c r="H218" i="9"/>
  <c r="G218" i="9"/>
  <c r="F218" i="9"/>
  <c r="E218" i="9"/>
  <c r="D218" i="9"/>
  <c r="C218" i="9"/>
  <c r="B218" i="9"/>
  <c r="A218" i="9"/>
  <c r="AP217" i="9"/>
  <c r="AO217" i="9"/>
  <c r="AN217" i="9"/>
  <c r="AM217" i="9"/>
  <c r="AK217" i="9"/>
  <c r="AJ217" i="9"/>
  <c r="AI217" i="9"/>
  <c r="AH217" i="9"/>
  <c r="AG217" i="9"/>
  <c r="AF217" i="9"/>
  <c r="AE217" i="9"/>
  <c r="AD217" i="9"/>
  <c r="AB217" i="9"/>
  <c r="V217" i="9"/>
  <c r="U217" i="9"/>
  <c r="T217" i="9"/>
  <c r="S217" i="9"/>
  <c r="R217" i="9"/>
  <c r="Q217" i="9"/>
  <c r="P217" i="9"/>
  <c r="O217" i="9"/>
  <c r="K217" i="9"/>
  <c r="J217" i="9"/>
  <c r="H217" i="9"/>
  <c r="G217" i="9"/>
  <c r="F217" i="9"/>
  <c r="E217" i="9"/>
  <c r="D217" i="9"/>
  <c r="C217" i="9"/>
  <c r="B217" i="9"/>
  <c r="A217" i="9"/>
  <c r="AP216" i="9"/>
  <c r="AO216" i="9"/>
  <c r="AM216" i="9"/>
  <c r="AK216" i="9"/>
  <c r="AJ216" i="9"/>
  <c r="AI216" i="9"/>
  <c r="AH216" i="9"/>
  <c r="AG216" i="9"/>
  <c r="AF216" i="9"/>
  <c r="AE216" i="9"/>
  <c r="AD216" i="9"/>
  <c r="T216" i="9"/>
  <c r="S216" i="9"/>
  <c r="R216" i="9"/>
  <c r="Q216" i="9"/>
  <c r="P216" i="9"/>
  <c r="O216" i="9"/>
  <c r="N216" i="9"/>
  <c r="K216" i="9"/>
  <c r="J216" i="9"/>
  <c r="H216" i="9"/>
  <c r="G216" i="9"/>
  <c r="F216" i="9"/>
  <c r="E216" i="9"/>
  <c r="D216" i="9"/>
  <c r="C216" i="9"/>
  <c r="B216" i="9"/>
  <c r="A216" i="9"/>
  <c r="AP215" i="9"/>
  <c r="AO215" i="9"/>
  <c r="AN215" i="9"/>
  <c r="AM215" i="9"/>
  <c r="AK215" i="9"/>
  <c r="AJ215" i="9"/>
  <c r="AI215" i="9"/>
  <c r="AH215" i="9"/>
  <c r="AG215" i="9"/>
  <c r="AF215" i="9"/>
  <c r="K215" i="9"/>
  <c r="G215" i="9"/>
  <c r="F215" i="9"/>
  <c r="E215" i="9"/>
  <c r="C215" i="9"/>
  <c r="B215" i="9"/>
  <c r="A215" i="9"/>
  <c r="AP214" i="9"/>
  <c r="AO214" i="9"/>
  <c r="AK214" i="9"/>
  <c r="AJ214" i="9"/>
  <c r="AI214" i="9"/>
  <c r="AH214" i="9"/>
  <c r="AG214" i="9"/>
  <c r="AF214" i="9"/>
  <c r="AE214" i="9"/>
  <c r="AD214" i="9"/>
  <c r="T214" i="9"/>
  <c r="S214" i="9"/>
  <c r="R214" i="9"/>
  <c r="Q214" i="9"/>
  <c r="P214" i="9"/>
  <c r="O214" i="9"/>
  <c r="N214" i="9"/>
  <c r="K214" i="9"/>
  <c r="J214" i="9"/>
  <c r="H214" i="9"/>
  <c r="G214" i="9"/>
  <c r="F214" i="9"/>
  <c r="E214" i="9"/>
  <c r="D214" i="9"/>
  <c r="C214" i="9"/>
  <c r="B214" i="9"/>
  <c r="A214" i="9"/>
  <c r="AP213" i="9"/>
  <c r="AO213" i="9"/>
  <c r="AK213" i="9"/>
  <c r="AJ213" i="9"/>
  <c r="AI213" i="9"/>
  <c r="AH213" i="9"/>
  <c r="AG213" i="9"/>
  <c r="AF213" i="9"/>
  <c r="AE213" i="9"/>
  <c r="AD213" i="9"/>
  <c r="U213" i="9"/>
  <c r="T213" i="9"/>
  <c r="S213" i="9"/>
  <c r="R213" i="9"/>
  <c r="Q213" i="9"/>
  <c r="P213" i="9"/>
  <c r="O213" i="9"/>
  <c r="N213" i="9"/>
  <c r="K213" i="9"/>
  <c r="J213" i="9"/>
  <c r="I213" i="9"/>
  <c r="H213" i="9"/>
  <c r="G213" i="9"/>
  <c r="F213" i="9"/>
  <c r="E213" i="9"/>
  <c r="D213" i="9"/>
  <c r="C213" i="9"/>
  <c r="B213" i="9"/>
  <c r="A213" i="9"/>
  <c r="AP212" i="9"/>
  <c r="AO212" i="9"/>
  <c r="AN212" i="9"/>
  <c r="AM212" i="9"/>
  <c r="AK212" i="9"/>
  <c r="AJ212" i="9"/>
  <c r="AI212" i="9"/>
  <c r="AH212" i="9"/>
  <c r="AG212" i="9"/>
  <c r="AF212" i="9"/>
  <c r="AE212" i="9"/>
  <c r="AD212" i="9"/>
  <c r="AA212" i="9"/>
  <c r="T212" i="9"/>
  <c r="S212" i="9"/>
  <c r="R212" i="9"/>
  <c r="Q212" i="9"/>
  <c r="P212" i="9"/>
  <c r="O212" i="9"/>
  <c r="N212" i="9"/>
  <c r="K212" i="9"/>
  <c r="J212" i="9"/>
  <c r="H212" i="9"/>
  <c r="G212" i="9"/>
  <c r="F212" i="9"/>
  <c r="E212" i="9"/>
  <c r="D212" i="9"/>
  <c r="C212" i="9"/>
  <c r="B212" i="9"/>
  <c r="A212" i="9"/>
  <c r="AP211" i="9"/>
  <c r="AO211" i="9"/>
  <c r="AK211" i="9"/>
  <c r="AJ211" i="9"/>
  <c r="AI211" i="9"/>
  <c r="AH211" i="9"/>
  <c r="AG211" i="9"/>
  <c r="AF211" i="9"/>
  <c r="AE211" i="9"/>
  <c r="AD211" i="9"/>
  <c r="U211" i="9"/>
  <c r="T211" i="9"/>
  <c r="S211" i="9"/>
  <c r="R211" i="9"/>
  <c r="Q211" i="9"/>
  <c r="P211" i="9"/>
  <c r="O211" i="9"/>
  <c r="N211" i="9"/>
  <c r="K211" i="9"/>
  <c r="J211" i="9"/>
  <c r="I211" i="9"/>
  <c r="H211" i="9"/>
  <c r="G211" i="9"/>
  <c r="F211" i="9"/>
  <c r="E211" i="9"/>
  <c r="D211" i="9"/>
  <c r="C211" i="9"/>
  <c r="B211" i="9"/>
  <c r="A211" i="9"/>
  <c r="AP210" i="9"/>
  <c r="AO210" i="9"/>
  <c r="AK210" i="9"/>
  <c r="AJ210" i="9"/>
  <c r="AI210" i="9"/>
  <c r="AH210" i="9"/>
  <c r="AG210" i="9"/>
  <c r="AF210" i="9"/>
  <c r="AE210" i="9"/>
  <c r="AD210" i="9"/>
  <c r="U210" i="9"/>
  <c r="T210" i="9"/>
  <c r="S210" i="9"/>
  <c r="R210" i="9"/>
  <c r="Q210" i="9"/>
  <c r="P210" i="9"/>
  <c r="O210" i="9"/>
  <c r="N210" i="9"/>
  <c r="K210" i="9"/>
  <c r="J210" i="9"/>
  <c r="I210" i="9"/>
  <c r="H210" i="9"/>
  <c r="G210" i="9"/>
  <c r="F210" i="9"/>
  <c r="E210" i="9"/>
  <c r="D210" i="9"/>
  <c r="C210" i="9"/>
  <c r="B210" i="9"/>
  <c r="A210" i="9"/>
  <c r="AP209" i="9"/>
  <c r="AO209" i="9"/>
  <c r="AK209" i="9"/>
  <c r="AJ209" i="9"/>
  <c r="AI209" i="9"/>
  <c r="AH209" i="9"/>
  <c r="AG209" i="9"/>
  <c r="AF209" i="9"/>
  <c r="AE209" i="9"/>
  <c r="AD209" i="9"/>
  <c r="U209" i="9"/>
  <c r="T209" i="9"/>
  <c r="S209" i="9"/>
  <c r="R209" i="9"/>
  <c r="Q209" i="9"/>
  <c r="P209" i="9"/>
  <c r="O209" i="9"/>
  <c r="N209" i="9"/>
  <c r="K209" i="9"/>
  <c r="J209" i="9"/>
  <c r="I209" i="9"/>
  <c r="H209" i="9"/>
  <c r="G209" i="9"/>
  <c r="F209" i="9"/>
  <c r="E209" i="9"/>
  <c r="D209" i="9"/>
  <c r="C209" i="9"/>
  <c r="B209" i="9"/>
  <c r="A209" i="9"/>
  <c r="AP208" i="9"/>
  <c r="AO208" i="9"/>
  <c r="AK208" i="9"/>
  <c r="AJ208" i="9"/>
  <c r="AI208" i="9"/>
  <c r="AH208" i="9"/>
  <c r="AG208" i="9"/>
  <c r="AF208" i="9"/>
  <c r="AE208" i="9"/>
  <c r="AD208" i="9"/>
  <c r="U208" i="9"/>
  <c r="T208" i="9"/>
  <c r="S208" i="9"/>
  <c r="R208" i="9"/>
  <c r="Q208" i="9"/>
  <c r="P208" i="9"/>
  <c r="O208" i="9"/>
  <c r="N208" i="9"/>
  <c r="L208" i="9"/>
  <c r="K208" i="9"/>
  <c r="J208" i="9"/>
  <c r="I208" i="9"/>
  <c r="H208" i="9"/>
  <c r="G208" i="9"/>
  <c r="F208" i="9"/>
  <c r="E208" i="9"/>
  <c r="D208" i="9"/>
  <c r="C208" i="9"/>
  <c r="B208" i="9"/>
  <c r="A208" i="9"/>
  <c r="AP207" i="9"/>
  <c r="AO207" i="9"/>
  <c r="AK207" i="9"/>
  <c r="AJ207" i="9"/>
  <c r="AI207" i="9"/>
  <c r="AH207" i="9"/>
  <c r="AG207" i="9"/>
  <c r="AF207" i="9"/>
  <c r="AE207" i="9"/>
  <c r="AD207" i="9"/>
  <c r="T207" i="9"/>
  <c r="S207" i="9"/>
  <c r="R207" i="9"/>
  <c r="Q207" i="9"/>
  <c r="P207" i="9"/>
  <c r="O207" i="9"/>
  <c r="N207" i="9"/>
  <c r="M207" i="9"/>
  <c r="L207" i="9"/>
  <c r="K207" i="9"/>
  <c r="J207" i="9"/>
  <c r="I207" i="9"/>
  <c r="H207" i="9"/>
  <c r="G207" i="9"/>
  <c r="F207" i="9"/>
  <c r="E207" i="9"/>
  <c r="D207" i="9"/>
  <c r="C207" i="9"/>
  <c r="B207" i="9"/>
  <c r="A207" i="9"/>
  <c r="AP206" i="9"/>
  <c r="AO206" i="9"/>
  <c r="AK206" i="9"/>
  <c r="AJ206" i="9"/>
  <c r="AI206" i="9"/>
  <c r="AH206" i="9"/>
  <c r="AG206" i="9"/>
  <c r="AF206" i="9"/>
  <c r="AE206" i="9"/>
  <c r="AD206" i="9"/>
  <c r="U206" i="9"/>
  <c r="T206" i="9"/>
  <c r="S206" i="9"/>
  <c r="R206" i="9"/>
  <c r="Q206" i="9"/>
  <c r="P206" i="9"/>
  <c r="O206" i="9"/>
  <c r="N206" i="9"/>
  <c r="K206" i="9"/>
  <c r="J206" i="9"/>
  <c r="I206" i="9"/>
  <c r="H206" i="9"/>
  <c r="G206" i="9"/>
  <c r="F206" i="9"/>
  <c r="E206" i="9"/>
  <c r="D206" i="9"/>
  <c r="C206" i="9"/>
  <c r="B206" i="9"/>
  <c r="A206" i="9"/>
  <c r="AP205" i="9"/>
  <c r="AO205" i="9"/>
  <c r="AK205" i="9"/>
  <c r="AJ205" i="9"/>
  <c r="AI205" i="9"/>
  <c r="AH205" i="9"/>
  <c r="AG205" i="9"/>
  <c r="AF205" i="9"/>
  <c r="AE205" i="9"/>
  <c r="AD205" i="9"/>
  <c r="U205" i="9"/>
  <c r="T205" i="9"/>
  <c r="S205" i="9"/>
  <c r="R205" i="9"/>
  <c r="Q205" i="9"/>
  <c r="P205" i="9"/>
  <c r="O205" i="9"/>
  <c r="N205" i="9"/>
  <c r="K205" i="9"/>
  <c r="J205" i="9"/>
  <c r="I205" i="9"/>
  <c r="H205" i="9"/>
  <c r="G205" i="9"/>
  <c r="F205" i="9"/>
  <c r="E205" i="9"/>
  <c r="D205" i="9"/>
  <c r="C205" i="9"/>
  <c r="B205" i="9"/>
  <c r="A205" i="9"/>
  <c r="AP204" i="9"/>
  <c r="AO204" i="9"/>
  <c r="AK204" i="9"/>
  <c r="AJ204" i="9"/>
  <c r="AI204" i="9"/>
  <c r="AH204" i="9"/>
  <c r="AG204" i="9"/>
  <c r="AF204" i="9"/>
  <c r="AE204" i="9"/>
  <c r="AD204" i="9"/>
  <c r="U204" i="9"/>
  <c r="T204" i="9"/>
  <c r="S204" i="9"/>
  <c r="R204" i="9"/>
  <c r="Q204" i="9"/>
  <c r="P204" i="9"/>
  <c r="O204" i="9"/>
  <c r="N204" i="9"/>
  <c r="K204" i="9"/>
  <c r="J204" i="9"/>
  <c r="I204" i="9"/>
  <c r="H204" i="9"/>
  <c r="G204" i="9"/>
  <c r="F204" i="9"/>
  <c r="E204" i="9"/>
  <c r="D204" i="9"/>
  <c r="C204" i="9"/>
  <c r="B204" i="9"/>
  <c r="A204" i="9"/>
  <c r="AP203" i="9"/>
  <c r="AO203" i="9"/>
  <c r="AK203" i="9"/>
  <c r="AJ203" i="9"/>
  <c r="AI203" i="9"/>
  <c r="AH203" i="9"/>
  <c r="AG203" i="9"/>
  <c r="AF203" i="9"/>
  <c r="AE203" i="9"/>
  <c r="AD203" i="9"/>
  <c r="U203" i="9"/>
  <c r="T203" i="9"/>
  <c r="S203" i="9"/>
  <c r="R203" i="9"/>
  <c r="Q203" i="9"/>
  <c r="P203" i="9"/>
  <c r="O203" i="9"/>
  <c r="N203" i="9"/>
  <c r="K203" i="9"/>
  <c r="J203" i="9"/>
  <c r="I203" i="9"/>
  <c r="H203" i="9"/>
  <c r="G203" i="9"/>
  <c r="F203" i="9"/>
  <c r="E203" i="9"/>
  <c r="D203" i="9"/>
  <c r="C203" i="9"/>
  <c r="B203" i="9"/>
  <c r="A203" i="9"/>
  <c r="AP202" i="9"/>
  <c r="AO202" i="9"/>
  <c r="AK202" i="9"/>
  <c r="AJ202" i="9"/>
  <c r="AI202" i="9"/>
  <c r="AH202" i="9"/>
  <c r="AG202" i="9"/>
  <c r="AF202" i="9"/>
  <c r="AE202" i="9"/>
  <c r="AD202" i="9"/>
  <c r="T202" i="9"/>
  <c r="S202" i="9"/>
  <c r="R202" i="9"/>
  <c r="Q202" i="9"/>
  <c r="P202" i="9"/>
  <c r="O202" i="9"/>
  <c r="N202" i="9"/>
  <c r="M202" i="9"/>
  <c r="L202" i="9"/>
  <c r="K202" i="9"/>
  <c r="J202" i="9"/>
  <c r="I202" i="9"/>
  <c r="H202" i="9"/>
  <c r="G202" i="9"/>
  <c r="F202" i="9"/>
  <c r="E202" i="9"/>
  <c r="D202" i="9"/>
  <c r="C202" i="9"/>
  <c r="B202" i="9"/>
  <c r="A202" i="9"/>
  <c r="AP201" i="9"/>
  <c r="AO201" i="9"/>
  <c r="AN201" i="9"/>
  <c r="AM201" i="9"/>
  <c r="AK201" i="9"/>
  <c r="AJ201" i="9"/>
  <c r="AI201" i="9"/>
  <c r="AH201" i="9"/>
  <c r="AG201" i="9"/>
  <c r="AF201" i="9"/>
  <c r="AE201" i="9"/>
  <c r="AD201" i="9"/>
  <c r="T201" i="9"/>
  <c r="S201" i="9"/>
  <c r="R201" i="9"/>
  <c r="Q201" i="9"/>
  <c r="P201" i="9"/>
  <c r="O201" i="9"/>
  <c r="N201" i="9"/>
  <c r="M201" i="9"/>
  <c r="L201" i="9"/>
  <c r="K201" i="9"/>
  <c r="J201" i="9"/>
  <c r="I201" i="9"/>
  <c r="H201" i="9"/>
  <c r="G201" i="9"/>
  <c r="F201" i="9"/>
  <c r="E201" i="9"/>
  <c r="D201" i="9"/>
  <c r="C201" i="9"/>
  <c r="B201" i="9"/>
  <c r="A201" i="9"/>
  <c r="AP200" i="9"/>
  <c r="AO200" i="9"/>
  <c r="AK200" i="9"/>
  <c r="AJ200" i="9"/>
  <c r="AI200" i="9"/>
  <c r="AH200" i="9"/>
  <c r="AG200" i="9"/>
  <c r="AF200" i="9"/>
  <c r="AE200" i="9"/>
  <c r="AD200" i="9"/>
  <c r="U200" i="9"/>
  <c r="T200" i="9"/>
  <c r="S200" i="9"/>
  <c r="R200" i="9"/>
  <c r="Q200" i="9"/>
  <c r="P200" i="9"/>
  <c r="O200" i="9"/>
  <c r="N200" i="9"/>
  <c r="K200" i="9"/>
  <c r="J200" i="9"/>
  <c r="I200" i="9"/>
  <c r="H200" i="9"/>
  <c r="G200" i="9"/>
  <c r="F200" i="9"/>
  <c r="E200" i="9"/>
  <c r="D200" i="9"/>
  <c r="C200" i="9"/>
  <c r="B200" i="9"/>
  <c r="A200" i="9"/>
  <c r="AP199" i="9"/>
  <c r="AO199" i="9"/>
  <c r="AK199" i="9"/>
  <c r="AJ199" i="9"/>
  <c r="AH199" i="9"/>
  <c r="AG199" i="9"/>
  <c r="AF199" i="9"/>
  <c r="AE199" i="9"/>
  <c r="AD199" i="9"/>
  <c r="AA199" i="9"/>
  <c r="Z199" i="9"/>
  <c r="X199" i="9"/>
  <c r="W199" i="9"/>
  <c r="V199" i="9"/>
  <c r="T199" i="9"/>
  <c r="S199" i="9"/>
  <c r="R199" i="9"/>
  <c r="Q199" i="9"/>
  <c r="P199" i="9"/>
  <c r="O199" i="9"/>
  <c r="K199" i="9"/>
  <c r="J199" i="9"/>
  <c r="I199" i="9"/>
  <c r="H199" i="9"/>
  <c r="G199" i="9"/>
  <c r="F199" i="9"/>
  <c r="E199" i="9"/>
  <c r="D199" i="9"/>
  <c r="C199" i="9"/>
  <c r="B199" i="9"/>
  <c r="A199" i="9"/>
  <c r="AP198" i="9"/>
  <c r="AO198" i="9"/>
  <c r="AN198" i="9"/>
  <c r="AM198" i="9"/>
  <c r="AK198" i="9"/>
  <c r="AJ198" i="9"/>
  <c r="AH198" i="9"/>
  <c r="AG198" i="9"/>
  <c r="AF198" i="9"/>
  <c r="G198" i="9"/>
  <c r="F198" i="9"/>
  <c r="E198" i="9"/>
  <c r="D198" i="9"/>
  <c r="C198" i="9"/>
  <c r="B198" i="9"/>
  <c r="A198" i="9"/>
  <c r="AP197" i="9"/>
  <c r="AO197" i="9"/>
  <c r="AN197" i="9"/>
  <c r="AM197" i="9"/>
  <c r="AK197" i="9"/>
  <c r="AJ197" i="9"/>
  <c r="AH197" i="9"/>
  <c r="AG197" i="9"/>
  <c r="AF197" i="9"/>
  <c r="AE197" i="9"/>
  <c r="AD197" i="9"/>
  <c r="T197" i="9"/>
  <c r="S197" i="9"/>
  <c r="R197" i="9"/>
  <c r="Q197" i="9"/>
  <c r="P197" i="9"/>
  <c r="O197" i="9"/>
  <c r="L197" i="9"/>
  <c r="K197" i="9"/>
  <c r="H197" i="9"/>
  <c r="G197" i="9"/>
  <c r="F197" i="9"/>
  <c r="E197" i="9"/>
  <c r="D197" i="9"/>
  <c r="C197" i="9"/>
  <c r="B197" i="9"/>
  <c r="A197" i="9"/>
  <c r="AP196" i="9"/>
  <c r="AO196" i="9"/>
  <c r="AK196" i="9"/>
  <c r="AJ196" i="9"/>
  <c r="AH196" i="9"/>
  <c r="AG196" i="9"/>
  <c r="AF196" i="9"/>
  <c r="AE196" i="9"/>
  <c r="AD196" i="9"/>
  <c r="AA196" i="9"/>
  <c r="T196" i="9"/>
  <c r="S196" i="9"/>
  <c r="R196" i="9"/>
  <c r="Q196" i="9"/>
  <c r="P196" i="9"/>
  <c r="O196" i="9"/>
  <c r="J196" i="9"/>
  <c r="H196" i="9"/>
  <c r="G196" i="9"/>
  <c r="F196" i="9"/>
  <c r="E196" i="9"/>
  <c r="D196" i="9"/>
  <c r="C196" i="9"/>
  <c r="B196" i="9"/>
  <c r="A196" i="9"/>
  <c r="AP195" i="9"/>
  <c r="AO195" i="9"/>
  <c r="AN195" i="9"/>
  <c r="AM195" i="9"/>
  <c r="AK195" i="9"/>
  <c r="AJ195" i="9"/>
  <c r="AH195" i="9"/>
  <c r="AG195" i="9"/>
  <c r="AF195" i="9"/>
  <c r="AE195" i="9"/>
  <c r="AD195" i="9"/>
  <c r="AA195" i="9"/>
  <c r="Y195" i="9"/>
  <c r="X195" i="9"/>
  <c r="U195" i="9"/>
  <c r="T195" i="9"/>
  <c r="S195" i="9"/>
  <c r="Q195" i="9"/>
  <c r="P195" i="9"/>
  <c r="O195" i="9"/>
  <c r="K195" i="9"/>
  <c r="J195" i="9"/>
  <c r="H195" i="9"/>
  <c r="G195" i="9"/>
  <c r="F195" i="9"/>
  <c r="E195" i="9"/>
  <c r="D195" i="9"/>
  <c r="C195" i="9"/>
  <c r="B195" i="9"/>
  <c r="A195" i="9"/>
  <c r="AP194" i="9"/>
  <c r="AO194" i="9"/>
  <c r="AK194" i="9"/>
  <c r="AJ194" i="9"/>
  <c r="AH194" i="9"/>
  <c r="AG194" i="9"/>
  <c r="AF194" i="9"/>
  <c r="AE194" i="9"/>
  <c r="AD194" i="9"/>
  <c r="AA194" i="9"/>
  <c r="T194" i="9"/>
  <c r="S194" i="9"/>
  <c r="R194" i="9"/>
  <c r="Q194" i="9"/>
  <c r="P194" i="9"/>
  <c r="O194" i="9"/>
  <c r="K194" i="9"/>
  <c r="J194" i="9"/>
  <c r="H194" i="9"/>
  <c r="G194" i="9"/>
  <c r="F194" i="9"/>
  <c r="E194" i="9"/>
  <c r="D194" i="9"/>
  <c r="C194" i="9"/>
  <c r="B194" i="9"/>
  <c r="A194" i="9"/>
  <c r="AP193" i="9"/>
  <c r="AO193" i="9"/>
  <c r="AN193" i="9"/>
  <c r="AM193" i="9"/>
  <c r="AK193" i="9"/>
  <c r="AJ193" i="9"/>
  <c r="AH193" i="9"/>
  <c r="AG193" i="9"/>
  <c r="AF193" i="9"/>
  <c r="AE193" i="9"/>
  <c r="AD193" i="9"/>
  <c r="AA193" i="9"/>
  <c r="T193" i="9"/>
  <c r="Q193" i="9"/>
  <c r="K193" i="9"/>
  <c r="J193" i="9"/>
  <c r="H193" i="9"/>
  <c r="G193" i="9"/>
  <c r="F193" i="9"/>
  <c r="E193" i="9"/>
  <c r="D193" i="9"/>
  <c r="C193" i="9"/>
  <c r="B193" i="9"/>
  <c r="A193" i="9"/>
  <c r="AP192" i="9"/>
  <c r="AO192" i="9"/>
  <c r="AN192" i="9"/>
  <c r="AM192" i="9"/>
  <c r="AK192" i="9"/>
  <c r="AJ192" i="9"/>
  <c r="AH192" i="9"/>
  <c r="AG192" i="9"/>
  <c r="AF192" i="9"/>
  <c r="AE192" i="9"/>
  <c r="AD192" i="9"/>
  <c r="AA192" i="9"/>
  <c r="T192" i="9"/>
  <c r="S192" i="9"/>
  <c r="R192" i="9"/>
  <c r="Q192" i="9"/>
  <c r="P192" i="9"/>
  <c r="O192" i="9"/>
  <c r="L192" i="9"/>
  <c r="K192" i="9"/>
  <c r="J192" i="9"/>
  <c r="I192" i="9"/>
  <c r="H192" i="9"/>
  <c r="G192" i="9"/>
  <c r="F192" i="9"/>
  <c r="E192" i="9"/>
  <c r="D192" i="9"/>
  <c r="C192" i="9"/>
  <c r="B192" i="9"/>
  <c r="A192" i="9"/>
  <c r="AP191" i="9"/>
  <c r="AO191" i="9"/>
  <c r="AK191" i="9"/>
  <c r="AJ191" i="9"/>
  <c r="AI191" i="9"/>
  <c r="AH191" i="9"/>
  <c r="AG191" i="9"/>
  <c r="L191" i="9"/>
  <c r="K191" i="9"/>
  <c r="J191" i="9"/>
  <c r="I191" i="9"/>
  <c r="H191" i="9"/>
  <c r="G191" i="9"/>
  <c r="F191" i="9"/>
  <c r="E191" i="9"/>
  <c r="C191" i="9"/>
  <c r="B191" i="9"/>
  <c r="A191" i="9"/>
  <c r="AP190" i="9"/>
  <c r="AO190" i="9"/>
  <c r="AK190" i="9"/>
  <c r="AJ190" i="9"/>
  <c r="AI190" i="9"/>
  <c r="AH190" i="9"/>
  <c r="AG190" i="9"/>
  <c r="L190" i="9"/>
  <c r="K190" i="9"/>
  <c r="J190" i="9"/>
  <c r="I190" i="9"/>
  <c r="H190" i="9"/>
  <c r="G190" i="9"/>
  <c r="F190" i="9"/>
  <c r="E190" i="9"/>
  <c r="C190" i="9"/>
  <c r="B190" i="9"/>
  <c r="A190" i="9"/>
  <c r="AP189" i="9"/>
  <c r="AO189" i="9"/>
  <c r="AN189" i="9"/>
  <c r="AM189" i="9"/>
  <c r="AK189" i="9"/>
  <c r="AJ189" i="9"/>
  <c r="AI189" i="9"/>
  <c r="AH189" i="9"/>
  <c r="AG189" i="9"/>
  <c r="AF189" i="9"/>
  <c r="AE189" i="9"/>
  <c r="AD189" i="9"/>
  <c r="U189" i="9"/>
  <c r="T189" i="9"/>
  <c r="S189" i="9"/>
  <c r="R189" i="9"/>
  <c r="Q189" i="9"/>
  <c r="P189" i="9"/>
  <c r="O189" i="9"/>
  <c r="N189" i="9"/>
  <c r="K189" i="9"/>
  <c r="J189" i="9"/>
  <c r="I189" i="9"/>
  <c r="H189" i="9"/>
  <c r="G189" i="9"/>
  <c r="F189" i="9"/>
  <c r="E189" i="9"/>
  <c r="D189" i="9"/>
  <c r="C189" i="9"/>
  <c r="B189" i="9"/>
  <c r="A189" i="9"/>
  <c r="AP188" i="9"/>
  <c r="AO188" i="9"/>
  <c r="AN188" i="9"/>
  <c r="AM188" i="9"/>
  <c r="AK188" i="9"/>
  <c r="AJ188" i="9"/>
  <c r="AI188" i="9"/>
  <c r="AH188" i="9"/>
  <c r="AG188" i="9"/>
  <c r="AF188" i="9"/>
  <c r="AD188" i="9"/>
  <c r="T188" i="9"/>
  <c r="S188" i="9"/>
  <c r="R188" i="9"/>
  <c r="Q188" i="9"/>
  <c r="P188" i="9"/>
  <c r="O188" i="9"/>
  <c r="N188" i="9"/>
  <c r="L188" i="9"/>
  <c r="K188" i="9"/>
  <c r="J188" i="9"/>
  <c r="H188" i="9"/>
  <c r="G188" i="9"/>
  <c r="F188" i="9"/>
  <c r="E188" i="9"/>
  <c r="D188" i="9"/>
  <c r="C188" i="9"/>
  <c r="B188" i="9"/>
  <c r="A188" i="9"/>
  <c r="AP187" i="9"/>
  <c r="AO187" i="9"/>
  <c r="AN187" i="9"/>
  <c r="AM187" i="9"/>
  <c r="AK187" i="9"/>
  <c r="AJ187" i="9"/>
  <c r="AI187" i="9"/>
  <c r="AH187" i="9"/>
  <c r="AG187" i="9"/>
  <c r="AF187" i="9"/>
  <c r="AE187" i="9"/>
  <c r="AD187" i="9"/>
  <c r="T187" i="9"/>
  <c r="S187" i="9"/>
  <c r="R187" i="9"/>
  <c r="Q187" i="9"/>
  <c r="P187" i="9"/>
  <c r="O187" i="9"/>
  <c r="M187" i="9"/>
  <c r="L187" i="9"/>
  <c r="K187" i="9"/>
  <c r="J187" i="9"/>
  <c r="I187" i="9"/>
  <c r="H187" i="9"/>
  <c r="G187" i="9"/>
  <c r="F187" i="9"/>
  <c r="E187" i="9"/>
  <c r="D187" i="9"/>
  <c r="C187" i="9"/>
  <c r="B187" i="9"/>
  <c r="A187" i="9"/>
  <c r="AP186" i="9"/>
  <c r="AO186" i="9"/>
  <c r="AN186" i="9"/>
  <c r="AM186" i="9"/>
  <c r="AK186" i="9"/>
  <c r="AJ186" i="9"/>
  <c r="AI186" i="9"/>
  <c r="AH186" i="9"/>
  <c r="AG186" i="9"/>
  <c r="AF186" i="9"/>
  <c r="AE186" i="9"/>
  <c r="AD186" i="9"/>
  <c r="T186" i="9"/>
  <c r="S186" i="9"/>
  <c r="R186" i="9"/>
  <c r="Q186" i="9"/>
  <c r="P186" i="9"/>
  <c r="O186" i="9"/>
  <c r="N186" i="9"/>
  <c r="M186" i="9"/>
  <c r="L186" i="9"/>
  <c r="K186" i="9"/>
  <c r="J186" i="9"/>
  <c r="I186" i="9"/>
  <c r="H186" i="9"/>
  <c r="G186" i="9"/>
  <c r="F186" i="9"/>
  <c r="E186" i="9"/>
  <c r="D186" i="9"/>
  <c r="C186" i="9"/>
  <c r="B186" i="9"/>
  <c r="A186" i="9"/>
  <c r="AP185" i="9"/>
  <c r="AO185" i="9"/>
  <c r="AK185" i="9"/>
  <c r="AJ185" i="9"/>
  <c r="AI185" i="9"/>
  <c r="AH185" i="9"/>
  <c r="AG185" i="9"/>
  <c r="AF185" i="9"/>
  <c r="AE185" i="9"/>
  <c r="AD185" i="9"/>
  <c r="T185" i="9"/>
  <c r="S185" i="9"/>
  <c r="R185" i="9"/>
  <c r="Q185" i="9"/>
  <c r="P185" i="9"/>
  <c r="O185" i="9"/>
  <c r="N185" i="9"/>
  <c r="L185" i="9"/>
  <c r="K185" i="9"/>
  <c r="J185" i="9"/>
  <c r="I185" i="9"/>
  <c r="H185" i="9"/>
  <c r="G185" i="9"/>
  <c r="F185" i="9"/>
  <c r="E185" i="9"/>
  <c r="D185" i="9"/>
  <c r="C185" i="9"/>
  <c r="B185" i="9"/>
  <c r="A185" i="9"/>
  <c r="AP184" i="9"/>
  <c r="AO184" i="9"/>
  <c r="AK184" i="9"/>
  <c r="AJ184" i="9"/>
  <c r="AI184" i="9"/>
  <c r="AH184" i="9"/>
  <c r="AG184" i="9"/>
  <c r="AF184" i="9"/>
  <c r="AE184" i="9"/>
  <c r="AD184" i="9"/>
  <c r="T184" i="9"/>
  <c r="S184" i="9"/>
  <c r="R184" i="9"/>
  <c r="Q184" i="9"/>
  <c r="P184" i="9"/>
  <c r="O184" i="9"/>
  <c r="N184" i="9"/>
  <c r="M184" i="9"/>
  <c r="L184" i="9"/>
  <c r="K184" i="9"/>
  <c r="J184" i="9"/>
  <c r="I184" i="9"/>
  <c r="H184" i="9"/>
  <c r="G184" i="9"/>
  <c r="F184" i="9"/>
  <c r="E184" i="9"/>
  <c r="D184" i="9"/>
  <c r="C184" i="9"/>
  <c r="B184" i="9"/>
  <c r="A184" i="9"/>
  <c r="AP183" i="9"/>
  <c r="AO183" i="9"/>
  <c r="AK183" i="9"/>
  <c r="AJ183" i="9"/>
  <c r="AI183" i="9"/>
  <c r="AH183" i="9"/>
  <c r="AG183" i="9"/>
  <c r="AF183" i="9"/>
  <c r="AE183" i="9"/>
  <c r="AD183" i="9"/>
  <c r="T183" i="9"/>
  <c r="S183" i="9"/>
  <c r="R183" i="9"/>
  <c r="Q183" i="9"/>
  <c r="P183" i="9"/>
  <c r="O183" i="9"/>
  <c r="N183" i="9"/>
  <c r="M183" i="9"/>
  <c r="L183" i="9"/>
  <c r="K183" i="9"/>
  <c r="J183" i="9"/>
  <c r="I183" i="9"/>
  <c r="H183" i="9"/>
  <c r="G183" i="9"/>
  <c r="F183" i="9"/>
  <c r="E183" i="9"/>
  <c r="D183" i="9"/>
  <c r="C183" i="9"/>
  <c r="B183" i="9"/>
  <c r="A183" i="9"/>
  <c r="AP182" i="9"/>
  <c r="AO182" i="9"/>
  <c r="AN182" i="9"/>
  <c r="AM182" i="9"/>
  <c r="AK182" i="9"/>
  <c r="AJ182" i="9"/>
  <c r="AI182" i="9"/>
  <c r="AH182" i="9"/>
  <c r="AG182" i="9"/>
  <c r="AF182" i="9"/>
  <c r="AE182" i="9"/>
  <c r="AD182" i="9"/>
  <c r="U182" i="9"/>
  <c r="T182" i="9"/>
  <c r="S182" i="9"/>
  <c r="R182" i="9"/>
  <c r="Q182" i="9"/>
  <c r="P182" i="9"/>
  <c r="O182" i="9"/>
  <c r="N182" i="9"/>
  <c r="K182" i="9"/>
  <c r="J182" i="9"/>
  <c r="I182" i="9"/>
  <c r="H182" i="9"/>
  <c r="G182" i="9"/>
  <c r="F182" i="9"/>
  <c r="E182" i="9"/>
  <c r="D182" i="9"/>
  <c r="C182" i="9"/>
  <c r="B182" i="9"/>
  <c r="A182" i="9"/>
  <c r="AP181" i="9"/>
  <c r="AO181" i="9"/>
  <c r="AN181" i="9"/>
  <c r="AM181" i="9"/>
  <c r="AK181" i="9"/>
  <c r="AJ181" i="9"/>
  <c r="AI181" i="9"/>
  <c r="AH181" i="9"/>
  <c r="AG181" i="9"/>
  <c r="AF181" i="9"/>
  <c r="AE181" i="9"/>
  <c r="AD181" i="9"/>
  <c r="T181" i="9"/>
  <c r="S181" i="9"/>
  <c r="R181" i="9"/>
  <c r="Q181" i="9"/>
  <c r="P181" i="9"/>
  <c r="O181" i="9"/>
  <c r="N181" i="9"/>
  <c r="M181" i="9"/>
  <c r="L181" i="9"/>
  <c r="K181" i="9"/>
  <c r="J181" i="9"/>
  <c r="I181" i="9"/>
  <c r="H181" i="9"/>
  <c r="G181" i="9"/>
  <c r="F181" i="9"/>
  <c r="E181" i="9"/>
  <c r="D181" i="9"/>
  <c r="C181" i="9"/>
  <c r="B181" i="9"/>
  <c r="A181" i="9"/>
  <c r="AP180" i="9"/>
  <c r="AO180" i="9"/>
  <c r="AN180" i="9"/>
  <c r="AM180" i="9"/>
  <c r="AK180" i="9"/>
  <c r="AJ180" i="9"/>
  <c r="AI180" i="9"/>
  <c r="AH180" i="9"/>
  <c r="AG180" i="9"/>
  <c r="AF180" i="9"/>
  <c r="AE180" i="9"/>
  <c r="AD180" i="9"/>
  <c r="T180" i="9"/>
  <c r="S180" i="9"/>
  <c r="R180" i="9"/>
  <c r="Q180" i="9"/>
  <c r="P180" i="9"/>
  <c r="O180" i="9"/>
  <c r="N180" i="9"/>
  <c r="K180" i="9"/>
  <c r="J180" i="9"/>
  <c r="I180" i="9"/>
  <c r="H180" i="9"/>
  <c r="G180" i="9"/>
  <c r="F180" i="9"/>
  <c r="E180" i="9"/>
  <c r="D180" i="9"/>
  <c r="C180" i="9"/>
  <c r="B180" i="9"/>
  <c r="A180" i="9"/>
  <c r="AP179" i="9"/>
  <c r="AO179" i="9"/>
  <c r="AN179" i="9"/>
  <c r="AM179" i="9"/>
  <c r="AK179" i="9"/>
  <c r="AJ179" i="9"/>
  <c r="AI179" i="9"/>
  <c r="AH179" i="9"/>
  <c r="AG179" i="9"/>
  <c r="AF179" i="9"/>
  <c r="AE179" i="9"/>
  <c r="AD179" i="9"/>
  <c r="T179" i="9"/>
  <c r="S179" i="9"/>
  <c r="R179" i="9"/>
  <c r="Q179" i="9"/>
  <c r="P179" i="9"/>
  <c r="O179" i="9"/>
  <c r="L179" i="9"/>
  <c r="K179" i="9"/>
  <c r="J179" i="9"/>
  <c r="H179" i="9"/>
  <c r="G179" i="9"/>
  <c r="F179" i="9"/>
  <c r="E179" i="9"/>
  <c r="D179" i="9"/>
  <c r="C179" i="9"/>
  <c r="B179" i="9"/>
  <c r="A179" i="9"/>
  <c r="AP178" i="9"/>
  <c r="AO178" i="9"/>
  <c r="AN178" i="9"/>
  <c r="AM178" i="9"/>
  <c r="AK178" i="9"/>
  <c r="AJ178" i="9"/>
  <c r="AI178" i="9"/>
  <c r="AH178" i="9"/>
  <c r="AG178" i="9"/>
  <c r="AF178" i="9"/>
  <c r="AE178" i="9"/>
  <c r="AD178" i="9"/>
  <c r="AA178" i="9"/>
  <c r="T178" i="9"/>
  <c r="S178" i="9"/>
  <c r="R178" i="9"/>
  <c r="Q178" i="9"/>
  <c r="P178" i="9"/>
  <c r="O178" i="9"/>
  <c r="L178" i="9"/>
  <c r="K178" i="9"/>
  <c r="J178" i="9"/>
  <c r="G178" i="9"/>
  <c r="F178" i="9"/>
  <c r="E178" i="9"/>
  <c r="D178" i="9"/>
  <c r="C178" i="9"/>
  <c r="B178" i="9"/>
  <c r="A178" i="9"/>
  <c r="AP177" i="9"/>
  <c r="AO177" i="9"/>
  <c r="AN177" i="9"/>
  <c r="AM177" i="9"/>
  <c r="AK177" i="9"/>
  <c r="AJ177" i="9"/>
  <c r="AI177" i="9"/>
  <c r="AH177" i="9"/>
  <c r="AG177" i="9"/>
  <c r="AF177" i="9"/>
  <c r="AE177" i="9"/>
  <c r="AD177" i="9"/>
  <c r="W177" i="9"/>
  <c r="U177" i="9"/>
  <c r="T177" i="9"/>
  <c r="S177" i="9"/>
  <c r="R177" i="9"/>
  <c r="Q177" i="9"/>
  <c r="P177" i="9"/>
  <c r="O177" i="9"/>
  <c r="N177" i="9"/>
  <c r="L177" i="9"/>
  <c r="K177" i="9"/>
  <c r="J177" i="9"/>
  <c r="H177" i="9"/>
  <c r="G177" i="9"/>
  <c r="F177" i="9"/>
  <c r="E177" i="9"/>
  <c r="D177" i="9"/>
  <c r="C177" i="9"/>
  <c r="B177" i="9"/>
  <c r="A177" i="9"/>
  <c r="AP176" i="9"/>
  <c r="AO176" i="9"/>
  <c r="AN176" i="9"/>
  <c r="AM176" i="9"/>
  <c r="AK176" i="9"/>
  <c r="AJ176" i="9"/>
  <c r="AI176" i="9"/>
  <c r="AH176" i="9"/>
  <c r="AG176" i="9"/>
  <c r="AF176" i="9"/>
  <c r="AE176" i="9"/>
  <c r="AD176" i="9"/>
  <c r="U176" i="9"/>
  <c r="T176" i="9"/>
  <c r="S176" i="9"/>
  <c r="R176" i="9"/>
  <c r="Q176" i="9"/>
  <c r="P176" i="9"/>
  <c r="O176" i="9"/>
  <c r="N176" i="9"/>
  <c r="L176" i="9"/>
  <c r="K176" i="9"/>
  <c r="J176" i="9"/>
  <c r="H176" i="9"/>
  <c r="G176" i="9"/>
  <c r="F176" i="9"/>
  <c r="E176" i="9"/>
  <c r="D176" i="9"/>
  <c r="C176" i="9"/>
  <c r="B176" i="9"/>
  <c r="A176" i="9"/>
  <c r="AP175" i="9"/>
  <c r="AO175" i="9"/>
  <c r="AN175" i="9"/>
  <c r="AM175" i="9"/>
  <c r="AK175" i="9"/>
  <c r="AJ175" i="9"/>
  <c r="AI175" i="9"/>
  <c r="AH175" i="9"/>
  <c r="AG175" i="9"/>
  <c r="AF175" i="9"/>
  <c r="AE175" i="9"/>
  <c r="AD175" i="9"/>
  <c r="AA175" i="9"/>
  <c r="X175" i="9"/>
  <c r="T175" i="9"/>
  <c r="S175" i="9"/>
  <c r="R175" i="9"/>
  <c r="Q175" i="9"/>
  <c r="P175" i="9"/>
  <c r="O175" i="9"/>
  <c r="L175" i="9"/>
  <c r="K175" i="9"/>
  <c r="J175" i="9"/>
  <c r="H175" i="9"/>
  <c r="G175" i="9"/>
  <c r="F175" i="9"/>
  <c r="E175" i="9"/>
  <c r="D175" i="9"/>
  <c r="C175" i="9"/>
  <c r="B175" i="9"/>
  <c r="A175" i="9"/>
  <c r="AP174" i="9"/>
  <c r="AO174" i="9"/>
  <c r="AK174" i="9"/>
  <c r="AJ174" i="9"/>
  <c r="AI174" i="9"/>
  <c r="AH174" i="9"/>
  <c r="AG174" i="9"/>
  <c r="AF174" i="9"/>
  <c r="AE174" i="9"/>
  <c r="AD174" i="9"/>
  <c r="Z174" i="9"/>
  <c r="Y174" i="9"/>
  <c r="X174" i="9"/>
  <c r="W174" i="9"/>
  <c r="T174" i="9"/>
  <c r="S174" i="9"/>
  <c r="R174" i="9"/>
  <c r="Q174" i="9"/>
  <c r="P174" i="9"/>
  <c r="O174" i="9"/>
  <c r="L174" i="9"/>
  <c r="K174" i="9"/>
  <c r="J174" i="9"/>
  <c r="I174" i="9"/>
  <c r="H174" i="9"/>
  <c r="G174" i="9"/>
  <c r="F174" i="9"/>
  <c r="E174" i="9"/>
  <c r="D174" i="9"/>
  <c r="C174" i="9"/>
  <c r="B174" i="9"/>
  <c r="A174" i="9"/>
  <c r="AP173" i="9"/>
  <c r="AO173" i="9"/>
  <c r="AK173" i="9"/>
  <c r="AJ173" i="9"/>
  <c r="AI173" i="9"/>
  <c r="AH173" i="9"/>
  <c r="AG173" i="9"/>
  <c r="AF173" i="9"/>
  <c r="AE173" i="9"/>
  <c r="AD173" i="9"/>
  <c r="T173" i="9"/>
  <c r="S173" i="9"/>
  <c r="R173" i="9"/>
  <c r="Q173" i="9"/>
  <c r="P173" i="9"/>
  <c r="O173" i="9"/>
  <c r="L173" i="9"/>
  <c r="K173" i="9"/>
  <c r="J173" i="9"/>
  <c r="H173" i="9"/>
  <c r="G173" i="9"/>
  <c r="F173" i="9"/>
  <c r="E173" i="9"/>
  <c r="D173" i="9"/>
  <c r="C173" i="9"/>
  <c r="B173" i="9"/>
  <c r="A173" i="9"/>
  <c r="AP172" i="9"/>
  <c r="AO172" i="9"/>
  <c r="AN172" i="9"/>
  <c r="AM172" i="9"/>
  <c r="AK172" i="9"/>
  <c r="AJ172" i="9"/>
  <c r="AI172" i="9"/>
  <c r="AH172" i="9"/>
  <c r="AG172" i="9"/>
  <c r="AF172" i="9"/>
  <c r="AE172" i="9"/>
  <c r="AD172" i="9"/>
  <c r="Y172" i="9"/>
  <c r="X172" i="9"/>
  <c r="W172" i="9"/>
  <c r="V172" i="9"/>
  <c r="T172" i="9"/>
  <c r="S172" i="9"/>
  <c r="R172" i="9"/>
  <c r="Q172" i="9"/>
  <c r="P172" i="9"/>
  <c r="O172" i="9"/>
  <c r="N172" i="9"/>
  <c r="L172" i="9"/>
  <c r="K172" i="9"/>
  <c r="J172" i="9"/>
  <c r="I172" i="9"/>
  <c r="H172" i="9"/>
  <c r="G172" i="9"/>
  <c r="F172" i="9"/>
  <c r="E172" i="9"/>
  <c r="D172" i="9"/>
  <c r="C172" i="9"/>
  <c r="B172" i="9"/>
  <c r="A172" i="9"/>
  <c r="AP171" i="9"/>
  <c r="AO171" i="9"/>
  <c r="AN171" i="9"/>
  <c r="AM171" i="9"/>
  <c r="AK171" i="9"/>
  <c r="AJ171" i="9"/>
  <c r="AI171" i="9"/>
  <c r="AH171" i="9"/>
  <c r="AG171" i="9"/>
  <c r="AF171" i="9"/>
  <c r="AE171" i="9"/>
  <c r="AD171" i="9"/>
  <c r="T171" i="9"/>
  <c r="S171" i="9"/>
  <c r="R171" i="9"/>
  <c r="Q171" i="9"/>
  <c r="P171" i="9"/>
  <c r="O171" i="9"/>
  <c r="L171" i="9"/>
  <c r="K171" i="9"/>
  <c r="J171" i="9"/>
  <c r="I171" i="9"/>
  <c r="H171" i="9"/>
  <c r="G171" i="9"/>
  <c r="F171" i="9"/>
  <c r="E171" i="9"/>
  <c r="D171" i="9"/>
  <c r="C171" i="9"/>
  <c r="B171" i="9"/>
  <c r="A171" i="9"/>
  <c r="AP170" i="9"/>
  <c r="AO170" i="9"/>
  <c r="AK170" i="9"/>
  <c r="AJ170" i="9"/>
  <c r="AI170" i="9"/>
  <c r="AH170" i="9"/>
  <c r="AG170" i="9"/>
  <c r="L170" i="9"/>
  <c r="K170" i="9"/>
  <c r="J170" i="9"/>
  <c r="I170" i="9"/>
  <c r="H170" i="9"/>
  <c r="G170" i="9"/>
  <c r="F170" i="9"/>
  <c r="E170" i="9"/>
  <c r="C170" i="9"/>
  <c r="B170" i="9"/>
  <c r="A170" i="9"/>
  <c r="AP169" i="9"/>
  <c r="AO169" i="9"/>
  <c r="AK169" i="9"/>
  <c r="AJ169" i="9"/>
  <c r="AI169" i="9"/>
  <c r="AH169" i="9"/>
  <c r="AG169" i="9"/>
  <c r="AF169" i="9"/>
  <c r="AE169" i="9"/>
  <c r="AD169" i="9"/>
  <c r="X169" i="9"/>
  <c r="T169" i="9"/>
  <c r="S169" i="9"/>
  <c r="R169" i="9"/>
  <c r="Q169" i="9"/>
  <c r="P169" i="9"/>
  <c r="O169" i="9"/>
  <c r="L169" i="9"/>
  <c r="K169" i="9"/>
  <c r="J169" i="9"/>
  <c r="H169" i="9"/>
  <c r="G169" i="9"/>
  <c r="F169" i="9"/>
  <c r="E169" i="9"/>
  <c r="D169" i="9"/>
  <c r="C169" i="9"/>
  <c r="B169" i="9"/>
  <c r="A169" i="9"/>
  <c r="AP168" i="9"/>
  <c r="AO168" i="9"/>
  <c r="AK168" i="9"/>
  <c r="AJ168" i="9"/>
  <c r="AI168" i="9"/>
  <c r="AH168" i="9"/>
  <c r="AG168" i="9"/>
  <c r="AF168" i="9"/>
  <c r="AE168" i="9"/>
  <c r="AD168" i="9"/>
  <c r="T168" i="9"/>
  <c r="S168" i="9"/>
  <c r="R168" i="9"/>
  <c r="Q168" i="9"/>
  <c r="O168" i="9"/>
  <c r="L168" i="9"/>
  <c r="K168" i="9"/>
  <c r="J168" i="9"/>
  <c r="H168" i="9"/>
  <c r="G168" i="9"/>
  <c r="F168" i="9"/>
  <c r="E168" i="9"/>
  <c r="D168" i="9"/>
  <c r="C168" i="9"/>
  <c r="B168" i="9"/>
  <c r="A168" i="9"/>
  <c r="AP167" i="9"/>
  <c r="AO167" i="9"/>
  <c r="AK167" i="9"/>
  <c r="AJ167" i="9"/>
  <c r="AI167" i="9"/>
  <c r="AH167" i="9"/>
  <c r="AG167" i="9"/>
  <c r="AF167" i="9"/>
  <c r="AE167" i="9"/>
  <c r="AD167" i="9"/>
  <c r="T167" i="9"/>
  <c r="S167" i="9"/>
  <c r="R167" i="9"/>
  <c r="Q167" i="9"/>
  <c r="P167" i="9"/>
  <c r="O167" i="9"/>
  <c r="L167" i="9"/>
  <c r="K167" i="9"/>
  <c r="J167" i="9"/>
  <c r="I167" i="9"/>
  <c r="H167" i="9"/>
  <c r="G167" i="9"/>
  <c r="F167" i="9"/>
  <c r="E167" i="9"/>
  <c r="D167" i="9"/>
  <c r="C167" i="9"/>
  <c r="B167" i="9"/>
  <c r="A167" i="9"/>
  <c r="AP166" i="9"/>
  <c r="AO166" i="9"/>
  <c r="AN166" i="9"/>
  <c r="AM166" i="9"/>
  <c r="AK166" i="9"/>
  <c r="AJ166" i="9"/>
  <c r="AI166" i="9"/>
  <c r="AH166" i="9"/>
  <c r="AG166" i="9"/>
  <c r="AF166" i="9"/>
  <c r="AE166" i="9"/>
  <c r="AD166" i="9"/>
  <c r="T166" i="9"/>
  <c r="S166" i="9"/>
  <c r="R166" i="9"/>
  <c r="Q166" i="9"/>
  <c r="P166" i="9"/>
  <c r="O166" i="9"/>
  <c r="L166" i="9"/>
  <c r="K166" i="9"/>
  <c r="J166" i="9"/>
  <c r="I166" i="9"/>
  <c r="H166" i="9"/>
  <c r="G166" i="9"/>
  <c r="F166" i="9"/>
  <c r="E166" i="9"/>
  <c r="D166" i="9"/>
  <c r="C166" i="9"/>
  <c r="B166" i="9"/>
  <c r="A166" i="9"/>
  <c r="AP165" i="9"/>
  <c r="AO165" i="9"/>
  <c r="AN165" i="9"/>
  <c r="AM165" i="9"/>
  <c r="AK165" i="9"/>
  <c r="AJ165" i="9"/>
  <c r="AI165" i="9"/>
  <c r="AH165" i="9"/>
  <c r="AG165" i="9"/>
  <c r="AF165" i="9"/>
  <c r="AE165" i="9"/>
  <c r="AD165" i="9"/>
  <c r="AA165" i="9"/>
  <c r="X165" i="9"/>
  <c r="V165" i="9"/>
  <c r="T165" i="9"/>
  <c r="S165" i="9"/>
  <c r="R165" i="9"/>
  <c r="Q165" i="9"/>
  <c r="P165" i="9"/>
  <c r="O165" i="9"/>
  <c r="L165" i="9"/>
  <c r="K165" i="9"/>
  <c r="J165" i="9"/>
  <c r="H165" i="9"/>
  <c r="G165" i="9"/>
  <c r="F165" i="9"/>
  <c r="E165" i="9"/>
  <c r="D165" i="9"/>
  <c r="C165" i="9"/>
  <c r="B165" i="9"/>
  <c r="A165" i="9"/>
  <c r="AP164" i="9"/>
  <c r="AO164" i="9"/>
  <c r="AK164" i="9"/>
  <c r="AJ164" i="9"/>
  <c r="AI164" i="9"/>
  <c r="AH164" i="9"/>
  <c r="AG164" i="9"/>
  <c r="AF164" i="9"/>
  <c r="AE164" i="9"/>
  <c r="AD164" i="9"/>
  <c r="T164" i="9"/>
  <c r="S164" i="9"/>
  <c r="R164" i="9"/>
  <c r="Q164" i="9"/>
  <c r="P164" i="9"/>
  <c r="O164" i="9"/>
  <c r="K164" i="9"/>
  <c r="J164" i="9"/>
  <c r="H164" i="9"/>
  <c r="G164" i="9"/>
  <c r="F164" i="9"/>
  <c r="E164" i="9"/>
  <c r="D164" i="9"/>
  <c r="C164" i="9"/>
  <c r="B164" i="9"/>
  <c r="A164" i="9"/>
  <c r="AP163" i="9"/>
  <c r="AO163" i="9"/>
  <c r="AN163" i="9"/>
  <c r="AM163" i="9"/>
  <c r="AK163" i="9"/>
  <c r="AJ163" i="9"/>
  <c r="AI163" i="9"/>
  <c r="AH163" i="9"/>
  <c r="AG163" i="9"/>
  <c r="AF163" i="9"/>
  <c r="AE163" i="9"/>
  <c r="AD163" i="9"/>
  <c r="AA163" i="9"/>
  <c r="W163" i="9"/>
  <c r="T163" i="9"/>
  <c r="S163" i="9"/>
  <c r="R163" i="9"/>
  <c r="Q163" i="9"/>
  <c r="P163" i="9"/>
  <c r="O163" i="9"/>
  <c r="L163" i="9"/>
  <c r="K163" i="9"/>
  <c r="J163" i="9"/>
  <c r="H163" i="9"/>
  <c r="G163" i="9"/>
  <c r="F163" i="9"/>
  <c r="E163" i="9"/>
  <c r="D163" i="9"/>
  <c r="C163" i="9"/>
  <c r="B163" i="9"/>
  <c r="A163" i="9"/>
  <c r="AP162" i="9"/>
  <c r="AO162" i="9"/>
  <c r="AN162" i="9"/>
  <c r="AM162" i="9"/>
  <c r="AK162" i="9"/>
  <c r="AJ162" i="9"/>
  <c r="AI162" i="9"/>
  <c r="AH162" i="9"/>
  <c r="AG162" i="9"/>
  <c r="AF162" i="9"/>
  <c r="AE162" i="9"/>
  <c r="AD162" i="9"/>
  <c r="T162" i="9"/>
  <c r="S162" i="9"/>
  <c r="R162" i="9"/>
  <c r="Q162" i="9"/>
  <c r="P162" i="9"/>
  <c r="O162" i="9"/>
  <c r="M162" i="9"/>
  <c r="L162" i="9"/>
  <c r="K162" i="9"/>
  <c r="J162" i="9"/>
  <c r="I162" i="9"/>
  <c r="H162" i="9"/>
  <c r="G162" i="9"/>
  <c r="F162" i="9"/>
  <c r="E162" i="9"/>
  <c r="D162" i="9"/>
  <c r="C162" i="9"/>
  <c r="B162" i="9"/>
  <c r="A162" i="9"/>
  <c r="AP161" i="9"/>
  <c r="AO161" i="9"/>
  <c r="AK161" i="9"/>
  <c r="AJ161" i="9"/>
  <c r="AI161" i="9"/>
  <c r="AH161" i="9"/>
  <c r="AG161" i="9"/>
  <c r="AF161" i="9"/>
  <c r="AE161" i="9"/>
  <c r="AD161" i="9"/>
  <c r="AA161" i="9"/>
  <c r="Y161" i="9"/>
  <c r="X161" i="9"/>
  <c r="T161" i="9"/>
  <c r="N161" i="9"/>
  <c r="K161" i="9"/>
  <c r="J161" i="9"/>
  <c r="I161" i="9"/>
  <c r="H161" i="9"/>
  <c r="G161" i="9"/>
  <c r="F161" i="9"/>
  <c r="E161" i="9"/>
  <c r="D161" i="9"/>
  <c r="C161" i="9"/>
  <c r="B161" i="9"/>
  <c r="A161" i="9"/>
  <c r="AP160" i="9"/>
  <c r="AO160" i="9"/>
  <c r="AN160" i="9"/>
  <c r="AM160" i="9"/>
  <c r="AK160" i="9"/>
  <c r="AJ160" i="9"/>
  <c r="AI160" i="9"/>
  <c r="AH160" i="9"/>
  <c r="AG160" i="9"/>
  <c r="AF160" i="9"/>
  <c r="AE160" i="9"/>
  <c r="AD160" i="9"/>
  <c r="T160" i="9"/>
  <c r="S160" i="9"/>
  <c r="R160" i="9"/>
  <c r="Q160" i="9"/>
  <c r="P160" i="9"/>
  <c r="O160" i="9"/>
  <c r="L160" i="9"/>
  <c r="K160" i="9"/>
  <c r="J160" i="9"/>
  <c r="H160" i="9"/>
  <c r="G160" i="9"/>
  <c r="F160" i="9"/>
  <c r="E160" i="9"/>
  <c r="D160" i="9"/>
  <c r="C160" i="9"/>
  <c r="B160" i="9"/>
  <c r="A160" i="9"/>
  <c r="AP159" i="9"/>
  <c r="AO159" i="9"/>
  <c r="AN159" i="9"/>
  <c r="AM159" i="9"/>
  <c r="AK159" i="9"/>
  <c r="AJ159" i="9"/>
  <c r="AI159" i="9"/>
  <c r="AH159" i="9"/>
  <c r="AG159" i="9"/>
  <c r="AF159" i="9"/>
  <c r="AE159" i="9"/>
  <c r="AD159" i="9"/>
  <c r="AA159" i="9"/>
  <c r="W159" i="9"/>
  <c r="V159" i="9"/>
  <c r="S159" i="9"/>
  <c r="Q159" i="9"/>
  <c r="P159" i="9"/>
  <c r="O159" i="9"/>
  <c r="L159" i="9"/>
  <c r="K159" i="9"/>
  <c r="J159" i="9"/>
  <c r="H159" i="9"/>
  <c r="G159" i="9"/>
  <c r="F159" i="9"/>
  <c r="E159" i="9"/>
  <c r="D159" i="9"/>
  <c r="C159" i="9"/>
  <c r="B159" i="9"/>
  <c r="A159" i="9"/>
  <c r="AP158" i="9"/>
  <c r="AO158" i="9"/>
  <c r="AN158" i="9"/>
  <c r="AM158" i="9"/>
  <c r="AK158" i="9"/>
  <c r="AJ158" i="9"/>
  <c r="AI158" i="9"/>
  <c r="AH158" i="9"/>
  <c r="AG158" i="9"/>
  <c r="AF158" i="9"/>
  <c r="AE158" i="9"/>
  <c r="AD158" i="9"/>
  <c r="T158" i="9"/>
  <c r="S158" i="9"/>
  <c r="R158" i="9"/>
  <c r="Q158" i="9"/>
  <c r="P158" i="9"/>
  <c r="O158" i="9"/>
  <c r="N158" i="9"/>
  <c r="M158" i="9"/>
  <c r="L158" i="9"/>
  <c r="K158" i="9"/>
  <c r="J158" i="9"/>
  <c r="I158" i="9"/>
  <c r="H158" i="9"/>
  <c r="G158" i="9"/>
  <c r="F158" i="9"/>
  <c r="E158" i="9"/>
  <c r="D158" i="9"/>
  <c r="C158" i="9"/>
  <c r="B158" i="9"/>
  <c r="A158" i="9"/>
  <c r="AP157" i="9"/>
  <c r="AO157" i="9"/>
  <c r="AK157" i="9"/>
  <c r="AJ157" i="9"/>
  <c r="AI157" i="9"/>
  <c r="AH157" i="9"/>
  <c r="AG157" i="9"/>
  <c r="AF157" i="9"/>
  <c r="AE157" i="9"/>
  <c r="AD157" i="9"/>
  <c r="T157" i="9"/>
  <c r="S157" i="9"/>
  <c r="R157" i="9"/>
  <c r="Q157" i="9"/>
  <c r="P157" i="9"/>
  <c r="O157" i="9"/>
  <c r="N157" i="9"/>
  <c r="M157" i="9"/>
  <c r="L157" i="9"/>
  <c r="K157" i="9"/>
  <c r="J157" i="9"/>
  <c r="I157" i="9"/>
  <c r="H157" i="9"/>
  <c r="G157" i="9"/>
  <c r="F157" i="9"/>
  <c r="E157" i="9"/>
  <c r="D157" i="9"/>
  <c r="C157" i="9"/>
  <c r="B157" i="9"/>
  <c r="A157" i="9"/>
  <c r="AP156" i="9"/>
  <c r="AO156" i="9"/>
  <c r="AK156" i="9"/>
  <c r="AJ156" i="9"/>
  <c r="AI156" i="9"/>
  <c r="AH156" i="9"/>
  <c r="AG156" i="9"/>
  <c r="AF156" i="9"/>
  <c r="AE156" i="9"/>
  <c r="AD156" i="9"/>
  <c r="U156" i="9"/>
  <c r="T156" i="9"/>
  <c r="S156" i="9"/>
  <c r="R156" i="9"/>
  <c r="Q156" i="9"/>
  <c r="P156" i="9"/>
  <c r="O156" i="9"/>
  <c r="N156" i="9"/>
  <c r="K156" i="9"/>
  <c r="J156" i="9"/>
  <c r="I156" i="9"/>
  <c r="H156" i="9"/>
  <c r="G156" i="9"/>
  <c r="F156" i="9"/>
  <c r="E156" i="9"/>
  <c r="D156" i="9"/>
  <c r="C156" i="9"/>
  <c r="B156" i="9"/>
  <c r="A156" i="9"/>
  <c r="AP155" i="9"/>
  <c r="AO155" i="9"/>
  <c r="AK155" i="9"/>
  <c r="AJ155" i="9"/>
  <c r="AI155" i="9"/>
  <c r="AH155" i="9"/>
  <c r="AG155" i="9"/>
  <c r="AF155" i="9"/>
  <c r="AE155" i="9"/>
  <c r="AD155" i="9"/>
  <c r="U155" i="9"/>
  <c r="T155" i="9"/>
  <c r="S155" i="9"/>
  <c r="R155" i="9"/>
  <c r="Q155" i="9"/>
  <c r="P155" i="9"/>
  <c r="O155" i="9"/>
  <c r="N155" i="9"/>
  <c r="K155" i="9"/>
  <c r="J155" i="9"/>
  <c r="I155" i="9"/>
  <c r="H155" i="9"/>
  <c r="G155" i="9"/>
  <c r="F155" i="9"/>
  <c r="E155" i="9"/>
  <c r="D155" i="9"/>
  <c r="C155" i="9"/>
  <c r="B155" i="9"/>
  <c r="A155" i="9"/>
  <c r="AP154" i="9"/>
  <c r="AO154" i="9"/>
  <c r="AN154" i="9"/>
  <c r="AM154" i="9"/>
  <c r="AK154" i="9"/>
  <c r="AJ154" i="9"/>
  <c r="AI154" i="9"/>
  <c r="AH154" i="9"/>
  <c r="AG154" i="9"/>
  <c r="AF154" i="9"/>
  <c r="AE154" i="9"/>
  <c r="AD154" i="9"/>
  <c r="T154" i="9"/>
  <c r="S154" i="9"/>
  <c r="R154" i="9"/>
  <c r="Q154" i="9"/>
  <c r="P154" i="9"/>
  <c r="O154" i="9"/>
  <c r="N154" i="9"/>
  <c r="K154" i="9"/>
  <c r="J154" i="9"/>
  <c r="H154" i="9"/>
  <c r="G154" i="9"/>
  <c r="F154" i="9"/>
  <c r="E154" i="9"/>
  <c r="D154" i="9"/>
  <c r="C154" i="9"/>
  <c r="B154" i="9"/>
  <c r="A154" i="9"/>
  <c r="AP153" i="9"/>
  <c r="AO153" i="9"/>
  <c r="AN153" i="9"/>
  <c r="AM153" i="9"/>
  <c r="AK153" i="9"/>
  <c r="AJ153" i="9"/>
  <c r="AI153" i="9"/>
  <c r="AH153" i="9"/>
  <c r="AG153" i="9"/>
  <c r="AF153" i="9"/>
  <c r="AE153" i="9"/>
  <c r="AD153" i="9"/>
  <c r="T153" i="9"/>
  <c r="S153" i="9"/>
  <c r="R153" i="9"/>
  <c r="Q153" i="9"/>
  <c r="P153" i="9"/>
  <c r="O153" i="9"/>
  <c r="N153" i="9"/>
  <c r="M153" i="9"/>
  <c r="L153" i="9"/>
  <c r="K153" i="9"/>
  <c r="J153" i="9"/>
  <c r="I153" i="9"/>
  <c r="H153" i="9"/>
  <c r="G153" i="9"/>
  <c r="F153" i="9"/>
  <c r="E153" i="9"/>
  <c r="D153" i="9"/>
  <c r="C153" i="9"/>
  <c r="B153" i="9"/>
  <c r="A153" i="9"/>
  <c r="AP152" i="9"/>
  <c r="AO152" i="9"/>
  <c r="AN152" i="9"/>
  <c r="AM152" i="9"/>
  <c r="AK152" i="9"/>
  <c r="AJ152" i="9"/>
  <c r="AI152" i="9"/>
  <c r="AH152" i="9"/>
  <c r="AG152" i="9"/>
  <c r="AF152" i="9"/>
  <c r="AE152" i="9"/>
  <c r="AD152" i="9"/>
  <c r="T152" i="9"/>
  <c r="S152" i="9"/>
  <c r="R152" i="9"/>
  <c r="Q152" i="9"/>
  <c r="P152" i="9"/>
  <c r="O152" i="9"/>
  <c r="N152" i="9"/>
  <c r="K152" i="9"/>
  <c r="J152" i="9"/>
  <c r="H152" i="9"/>
  <c r="G152" i="9"/>
  <c r="F152" i="9"/>
  <c r="E152" i="9"/>
  <c r="D152" i="9"/>
  <c r="C152" i="9"/>
  <c r="B152" i="9"/>
  <c r="A152" i="9"/>
  <c r="AP151" i="9"/>
  <c r="AO151" i="9"/>
  <c r="AK151" i="9"/>
  <c r="AJ151" i="9"/>
  <c r="AI151" i="9"/>
  <c r="AH151" i="9"/>
  <c r="AG151" i="9"/>
  <c r="AF151" i="9"/>
  <c r="AE151" i="9"/>
  <c r="AD151" i="9"/>
  <c r="T151" i="9"/>
  <c r="S151" i="9"/>
  <c r="R151" i="9"/>
  <c r="Q151" i="9"/>
  <c r="P151" i="9"/>
  <c r="O151" i="9"/>
  <c r="N151" i="9"/>
  <c r="M151" i="9"/>
  <c r="L151" i="9"/>
  <c r="K151" i="9"/>
  <c r="J151" i="9"/>
  <c r="I151" i="9"/>
  <c r="H151" i="9"/>
  <c r="G151" i="9"/>
  <c r="F151" i="9"/>
  <c r="E151" i="9"/>
  <c r="D151" i="9"/>
  <c r="C151" i="9"/>
  <c r="B151" i="9"/>
  <c r="A151" i="9"/>
  <c r="AP150" i="9"/>
  <c r="AO150" i="9"/>
  <c r="AK150" i="9"/>
  <c r="AJ150" i="9"/>
  <c r="AI150" i="9"/>
  <c r="AH150" i="9"/>
  <c r="AG150" i="9"/>
  <c r="L150" i="9"/>
  <c r="K150" i="9"/>
  <c r="J150" i="9"/>
  <c r="I150" i="9"/>
  <c r="H150" i="9"/>
  <c r="G150" i="9"/>
  <c r="F150" i="9"/>
  <c r="E150" i="9"/>
  <c r="C150" i="9"/>
  <c r="B150" i="9"/>
  <c r="A150" i="9"/>
  <c r="AP149" i="9"/>
  <c r="AO149" i="9"/>
  <c r="AK149" i="9"/>
  <c r="AJ149" i="9"/>
  <c r="AI149" i="9"/>
  <c r="AH149" i="9"/>
  <c r="AG149" i="9"/>
  <c r="AF149" i="9"/>
  <c r="AE149" i="9"/>
  <c r="AD149" i="9"/>
  <c r="T149" i="9"/>
  <c r="S149" i="9"/>
  <c r="R149" i="9"/>
  <c r="Q149" i="9"/>
  <c r="P149" i="9"/>
  <c r="O149" i="9"/>
  <c r="N149" i="9"/>
  <c r="M149" i="9"/>
  <c r="L149" i="9"/>
  <c r="K149" i="9"/>
  <c r="J149" i="9"/>
  <c r="I149" i="9"/>
  <c r="H149" i="9"/>
  <c r="G149" i="9"/>
  <c r="F149" i="9"/>
  <c r="E149" i="9"/>
  <c r="D149" i="9"/>
  <c r="C149" i="9"/>
  <c r="B149" i="9"/>
  <c r="A149" i="9"/>
  <c r="AP148" i="9"/>
  <c r="AO148" i="9"/>
  <c r="AN148" i="9"/>
  <c r="AM148" i="9"/>
  <c r="AK148" i="9"/>
  <c r="AJ148" i="9"/>
  <c r="AI148" i="9"/>
  <c r="AH148" i="9"/>
  <c r="AG148" i="9"/>
  <c r="AF148" i="9"/>
  <c r="AE148" i="9"/>
  <c r="AD148" i="9"/>
  <c r="T148" i="9"/>
  <c r="S148" i="9"/>
  <c r="R148" i="9"/>
  <c r="Q148" i="9"/>
  <c r="P148" i="9"/>
  <c r="O148" i="9"/>
  <c r="N148" i="9"/>
  <c r="M148" i="9"/>
  <c r="L148" i="9"/>
  <c r="K148" i="9"/>
  <c r="J148" i="9"/>
  <c r="I148" i="9"/>
  <c r="H148" i="9"/>
  <c r="G148" i="9"/>
  <c r="F148" i="9"/>
  <c r="E148" i="9"/>
  <c r="D148" i="9"/>
  <c r="C148" i="9"/>
  <c r="B148" i="9"/>
  <c r="A148" i="9"/>
  <c r="AP147" i="9"/>
  <c r="AO147" i="9"/>
  <c r="AK147" i="9"/>
  <c r="AJ147" i="9"/>
  <c r="AI147" i="9"/>
  <c r="AH147" i="9"/>
  <c r="AG147" i="9"/>
  <c r="AF147" i="9"/>
  <c r="AE147" i="9"/>
  <c r="AD147" i="9"/>
  <c r="T147" i="9"/>
  <c r="S147" i="9"/>
  <c r="R147" i="9"/>
  <c r="Q147" i="9"/>
  <c r="P147" i="9"/>
  <c r="O147" i="9"/>
  <c r="L147" i="9"/>
  <c r="K147" i="9"/>
  <c r="J147" i="9"/>
  <c r="H147" i="9"/>
  <c r="G147" i="9"/>
  <c r="F147" i="9"/>
  <c r="E147" i="9"/>
  <c r="D147" i="9"/>
  <c r="C147" i="9"/>
  <c r="B147" i="9"/>
  <c r="A147" i="9"/>
  <c r="AP146" i="9"/>
  <c r="AO146" i="9"/>
  <c r="AN146" i="9"/>
  <c r="AM146" i="9"/>
  <c r="AK146" i="9"/>
  <c r="AJ146" i="9"/>
  <c r="AI146" i="9"/>
  <c r="AH146" i="9"/>
  <c r="AG146" i="9"/>
  <c r="AF146" i="9"/>
  <c r="AE146" i="9"/>
  <c r="AD146" i="9"/>
  <c r="U146" i="9"/>
  <c r="T146" i="9"/>
  <c r="S146" i="9"/>
  <c r="R146" i="9"/>
  <c r="Q146" i="9"/>
  <c r="P146" i="9"/>
  <c r="O146" i="9"/>
  <c r="K146" i="9"/>
  <c r="J146" i="9"/>
  <c r="H146" i="9"/>
  <c r="G146" i="9"/>
  <c r="F146" i="9"/>
  <c r="E146" i="9"/>
  <c r="D146" i="9"/>
  <c r="C146" i="9"/>
  <c r="B146" i="9"/>
  <c r="A146" i="9"/>
  <c r="AP145" i="9"/>
  <c r="AO145" i="9"/>
  <c r="AN145" i="9"/>
  <c r="AM145" i="9"/>
  <c r="AK145" i="9"/>
  <c r="AJ145" i="9"/>
  <c r="AI145" i="9"/>
  <c r="AH145" i="9"/>
  <c r="AG145" i="9"/>
  <c r="AF145" i="9"/>
  <c r="AE145" i="9"/>
  <c r="AD145" i="9"/>
  <c r="T145" i="9"/>
  <c r="S145" i="9"/>
  <c r="R145" i="9"/>
  <c r="Q145" i="9"/>
  <c r="P145" i="9"/>
  <c r="O145" i="9"/>
  <c r="L145" i="9"/>
  <c r="K145" i="9"/>
  <c r="J145" i="9"/>
  <c r="H145" i="9"/>
  <c r="G145" i="9"/>
  <c r="F145" i="9"/>
  <c r="E145" i="9"/>
  <c r="D145" i="9"/>
  <c r="C145" i="9"/>
  <c r="B145" i="9"/>
  <c r="A145" i="9"/>
  <c r="AP144" i="9"/>
  <c r="AO144" i="9"/>
  <c r="AN144" i="9"/>
  <c r="AM144" i="9"/>
  <c r="AK144" i="9"/>
  <c r="AJ144" i="9"/>
  <c r="AI144" i="9"/>
  <c r="AH144" i="9"/>
  <c r="AG144" i="9"/>
  <c r="AF144" i="9"/>
  <c r="AE144" i="9"/>
  <c r="AD144" i="9"/>
  <c r="T144" i="9"/>
  <c r="S144" i="9"/>
  <c r="R144" i="9"/>
  <c r="Q144" i="9"/>
  <c r="P144" i="9"/>
  <c r="O144" i="9"/>
  <c r="L144" i="9"/>
  <c r="K144" i="9"/>
  <c r="J144" i="9"/>
  <c r="H144" i="9"/>
  <c r="G144" i="9"/>
  <c r="F144" i="9"/>
  <c r="E144" i="9"/>
  <c r="D144" i="9"/>
  <c r="C144" i="9"/>
  <c r="B144" i="9"/>
  <c r="A144" i="9"/>
  <c r="AP143" i="9"/>
  <c r="AO143" i="9"/>
  <c r="AN143" i="9"/>
  <c r="AM143" i="9"/>
  <c r="AK143" i="9"/>
  <c r="AJ143" i="9"/>
  <c r="AH143" i="9"/>
  <c r="AG143" i="9"/>
  <c r="AF143" i="9"/>
  <c r="AE143" i="9"/>
  <c r="AD143" i="9"/>
  <c r="U143" i="9"/>
  <c r="T143" i="9"/>
  <c r="S143" i="9"/>
  <c r="R143" i="9"/>
  <c r="Q143" i="9"/>
  <c r="P143" i="9"/>
  <c r="O143" i="9"/>
  <c r="K143" i="9"/>
  <c r="J143" i="9"/>
  <c r="H143" i="9"/>
  <c r="G143" i="9"/>
  <c r="F143" i="9"/>
  <c r="E143" i="9"/>
  <c r="D143" i="9"/>
  <c r="C143" i="9"/>
  <c r="B143" i="9"/>
  <c r="A143" i="9"/>
  <c r="AP142" i="9"/>
  <c r="AO142" i="9"/>
  <c r="AK142" i="9"/>
  <c r="AJ142" i="9"/>
  <c r="AI142" i="9"/>
  <c r="AH142" i="9"/>
  <c r="AG142" i="9"/>
  <c r="AF142" i="9"/>
  <c r="AE142" i="9"/>
  <c r="AD142" i="9"/>
  <c r="U142" i="9"/>
  <c r="T142" i="9"/>
  <c r="S142" i="9"/>
  <c r="R142" i="9"/>
  <c r="Q142" i="9"/>
  <c r="P142" i="9"/>
  <c r="O142" i="9"/>
  <c r="N142" i="9"/>
  <c r="K142" i="9"/>
  <c r="J142" i="9"/>
  <c r="H142" i="9"/>
  <c r="G142" i="9"/>
  <c r="F142" i="9"/>
  <c r="E142" i="9"/>
  <c r="D142" i="9"/>
  <c r="C142" i="9"/>
  <c r="B142" i="9"/>
  <c r="A142" i="9"/>
  <c r="AP141" i="9"/>
  <c r="AO141" i="9"/>
  <c r="AN141" i="9"/>
  <c r="AM141" i="9"/>
  <c r="AK141" i="9"/>
  <c r="AJ141" i="9"/>
  <c r="AI141" i="9"/>
  <c r="AH141" i="9"/>
  <c r="AG141" i="9"/>
  <c r="AF141" i="9"/>
  <c r="AE141" i="9"/>
  <c r="AD141" i="9"/>
  <c r="T141" i="9"/>
  <c r="S141" i="9"/>
  <c r="R141" i="9"/>
  <c r="Q141" i="9"/>
  <c r="P141" i="9"/>
  <c r="O141" i="9"/>
  <c r="L141" i="9"/>
  <c r="K141" i="9"/>
  <c r="J141" i="9"/>
  <c r="H141" i="9"/>
  <c r="G141" i="9"/>
  <c r="F141" i="9"/>
  <c r="E141" i="9"/>
  <c r="D141" i="9"/>
  <c r="C141" i="9"/>
  <c r="B141" i="9"/>
  <c r="A141" i="9"/>
  <c r="AP140" i="9"/>
  <c r="AO140" i="9"/>
  <c r="AK140" i="9"/>
  <c r="AJ140" i="9"/>
  <c r="AI140" i="9"/>
  <c r="AH140" i="9"/>
  <c r="AG140" i="9"/>
  <c r="AF140" i="9"/>
  <c r="AE140" i="9"/>
  <c r="AD140" i="9"/>
  <c r="T140" i="9"/>
  <c r="S140" i="9"/>
  <c r="R140" i="9"/>
  <c r="Q140" i="9"/>
  <c r="P140" i="9"/>
  <c r="O140" i="9"/>
  <c r="L140" i="9"/>
  <c r="K140" i="9"/>
  <c r="J140" i="9"/>
  <c r="H140" i="9"/>
  <c r="G140" i="9"/>
  <c r="F140" i="9"/>
  <c r="E140" i="9"/>
  <c r="D140" i="9"/>
  <c r="C140" i="9"/>
  <c r="B140" i="9"/>
  <c r="A140" i="9"/>
  <c r="AP139" i="9"/>
  <c r="AO139" i="9"/>
  <c r="AK139" i="9"/>
  <c r="AJ139" i="9"/>
  <c r="AI139" i="9"/>
  <c r="AH139" i="9"/>
  <c r="AG139" i="9"/>
  <c r="G139" i="9"/>
  <c r="F139" i="9"/>
  <c r="E139" i="9"/>
  <c r="C139" i="9"/>
  <c r="B139" i="9"/>
  <c r="A139" i="9"/>
  <c r="AP138" i="9"/>
  <c r="AO138" i="9"/>
  <c r="AN138" i="9"/>
  <c r="AM138" i="9"/>
  <c r="AK138" i="9"/>
  <c r="AJ138" i="9"/>
  <c r="AI138" i="9"/>
  <c r="AH138" i="9"/>
  <c r="AG138" i="9"/>
  <c r="AF138" i="9"/>
  <c r="AE138" i="9"/>
  <c r="AD138" i="9"/>
  <c r="T138" i="9"/>
  <c r="S138" i="9"/>
  <c r="R138" i="9"/>
  <c r="Q138" i="9"/>
  <c r="P138" i="9"/>
  <c r="O138" i="9"/>
  <c r="L138" i="9"/>
  <c r="K138" i="9"/>
  <c r="J138" i="9"/>
  <c r="H138" i="9"/>
  <c r="G138" i="9"/>
  <c r="F138" i="9"/>
  <c r="E138" i="9"/>
  <c r="D138" i="9"/>
  <c r="C138" i="9"/>
  <c r="B138" i="9"/>
  <c r="A138" i="9"/>
  <c r="AP137" i="9"/>
  <c r="AO137" i="9"/>
  <c r="AK137" i="9"/>
  <c r="AJ137" i="9"/>
  <c r="AI137" i="9"/>
  <c r="AH137" i="9"/>
  <c r="AG137" i="9"/>
  <c r="AF137" i="9"/>
  <c r="AE137" i="9"/>
  <c r="AD137" i="9"/>
  <c r="T137" i="9"/>
  <c r="S137" i="9"/>
  <c r="R137" i="9"/>
  <c r="Q137" i="9"/>
  <c r="P137" i="9"/>
  <c r="O137" i="9"/>
  <c r="L137" i="9"/>
  <c r="K137" i="9"/>
  <c r="J137" i="9"/>
  <c r="H137" i="9"/>
  <c r="G137" i="9"/>
  <c r="F137" i="9"/>
  <c r="E137" i="9"/>
  <c r="D137" i="9"/>
  <c r="C137" i="9"/>
  <c r="B137" i="9"/>
  <c r="A137" i="9"/>
  <c r="AP136" i="9"/>
  <c r="AO136" i="9"/>
  <c r="AK136" i="9"/>
  <c r="AJ136" i="9"/>
  <c r="AI136" i="9"/>
  <c r="AH136" i="9"/>
  <c r="AG136" i="9"/>
  <c r="AF136" i="9"/>
  <c r="AE136" i="9"/>
  <c r="AD136" i="9"/>
  <c r="T136" i="9"/>
  <c r="S136" i="9"/>
  <c r="R136" i="9"/>
  <c r="Q136" i="9"/>
  <c r="P136" i="9"/>
  <c r="O136" i="9"/>
  <c r="L136" i="9"/>
  <c r="K136" i="9"/>
  <c r="J136" i="9"/>
  <c r="H136" i="9"/>
  <c r="G136" i="9"/>
  <c r="F136" i="9"/>
  <c r="E136" i="9"/>
  <c r="D136" i="9"/>
  <c r="C136" i="9"/>
  <c r="B136" i="9"/>
  <c r="A136" i="9"/>
  <c r="AP135" i="9"/>
  <c r="AO135" i="9"/>
  <c r="AK135" i="9"/>
  <c r="AJ135" i="9"/>
  <c r="AI135" i="9"/>
  <c r="AH135" i="9"/>
  <c r="AG135" i="9"/>
  <c r="AF135" i="9"/>
  <c r="AE135" i="9"/>
  <c r="AD135" i="9"/>
  <c r="T135" i="9"/>
  <c r="S135" i="9"/>
  <c r="R135" i="9"/>
  <c r="Q135" i="9"/>
  <c r="P135" i="9"/>
  <c r="O135" i="9"/>
  <c r="L135" i="9"/>
  <c r="K135" i="9"/>
  <c r="J135" i="9"/>
  <c r="H135" i="9"/>
  <c r="G135" i="9"/>
  <c r="F135" i="9"/>
  <c r="E135" i="9"/>
  <c r="D135" i="9"/>
  <c r="C135" i="9"/>
  <c r="B135" i="9"/>
  <c r="A135" i="9"/>
  <c r="AP134" i="9"/>
  <c r="AO134" i="9"/>
  <c r="AK134" i="9"/>
  <c r="AJ134" i="9"/>
  <c r="AI134" i="9"/>
  <c r="AH134" i="9"/>
  <c r="AG134" i="9"/>
  <c r="AF134" i="9"/>
  <c r="AE134" i="9"/>
  <c r="AD134" i="9"/>
  <c r="AA134" i="9"/>
  <c r="Z134" i="9"/>
  <c r="Y134" i="9"/>
  <c r="X134" i="9"/>
  <c r="W134" i="9"/>
  <c r="V134" i="9"/>
  <c r="T134" i="9"/>
  <c r="S134" i="9"/>
  <c r="R134" i="9"/>
  <c r="Q134" i="9"/>
  <c r="P134" i="9"/>
  <c r="O134" i="9"/>
  <c r="K134" i="9"/>
  <c r="J134" i="9"/>
  <c r="H134" i="9"/>
  <c r="G134" i="9"/>
  <c r="F134" i="9"/>
  <c r="E134" i="9"/>
  <c r="D134" i="9"/>
  <c r="C134" i="9"/>
  <c r="B134" i="9"/>
  <c r="A134" i="9"/>
  <c r="AP133" i="9"/>
  <c r="AO133" i="9"/>
  <c r="AN133" i="9"/>
  <c r="AM133" i="9"/>
  <c r="AL133" i="9"/>
  <c r="AK133" i="9"/>
  <c r="AJ133" i="9"/>
  <c r="AI133" i="9"/>
  <c r="AH133" i="9"/>
  <c r="AG133" i="9"/>
  <c r="AF133" i="9"/>
  <c r="L133" i="9"/>
  <c r="K133" i="9"/>
  <c r="J133" i="9"/>
  <c r="H133" i="9"/>
  <c r="G133" i="9"/>
  <c r="F133" i="9"/>
  <c r="E133" i="9"/>
  <c r="D133" i="9"/>
  <c r="C133" i="9"/>
  <c r="B133" i="9"/>
  <c r="A133" i="9"/>
  <c r="AP132" i="9"/>
  <c r="AO132" i="9"/>
  <c r="AN132" i="9"/>
  <c r="AM132" i="9"/>
  <c r="AK132" i="9"/>
  <c r="AJ132" i="9"/>
  <c r="AI132" i="9"/>
  <c r="AH132" i="9"/>
  <c r="AG132" i="9"/>
  <c r="AF132" i="9"/>
  <c r="AE132" i="9"/>
  <c r="AD132" i="9"/>
  <c r="AA132" i="9"/>
  <c r="W132" i="9"/>
  <c r="T132" i="9"/>
  <c r="S132" i="9"/>
  <c r="R132" i="9"/>
  <c r="Q132" i="9"/>
  <c r="P132" i="9"/>
  <c r="O132" i="9"/>
  <c r="L132" i="9"/>
  <c r="K132" i="9"/>
  <c r="J132" i="9"/>
  <c r="H132" i="9"/>
  <c r="G132" i="9"/>
  <c r="F132" i="9"/>
  <c r="E132" i="9"/>
  <c r="D132" i="9"/>
  <c r="C132" i="9"/>
  <c r="B132" i="9"/>
  <c r="A132" i="9"/>
  <c r="AP131" i="9"/>
  <c r="AO131" i="9"/>
  <c r="AN131" i="9"/>
  <c r="AM131" i="9"/>
  <c r="AK131" i="9"/>
  <c r="AJ131" i="9"/>
  <c r="AI131" i="9"/>
  <c r="AH131" i="9"/>
  <c r="AG131" i="9"/>
  <c r="AF131" i="9"/>
  <c r="AD131" i="9"/>
  <c r="AA131" i="9"/>
  <c r="V131" i="9"/>
  <c r="L131" i="9"/>
  <c r="K131" i="9"/>
  <c r="J131" i="9"/>
  <c r="H131" i="9"/>
  <c r="G131" i="9"/>
  <c r="F131" i="9"/>
  <c r="E131" i="9"/>
  <c r="D131" i="9"/>
  <c r="C131" i="9"/>
  <c r="B131" i="9"/>
  <c r="A131" i="9"/>
  <c r="AP130" i="9"/>
  <c r="AO130" i="9"/>
  <c r="AK130" i="9"/>
  <c r="AJ130" i="9"/>
  <c r="AI130" i="9"/>
  <c r="AH130" i="9"/>
  <c r="AG130" i="9"/>
  <c r="AF130" i="9"/>
  <c r="AE130" i="9"/>
  <c r="AD130" i="9"/>
  <c r="AA130" i="9"/>
  <c r="W130" i="9"/>
  <c r="V130" i="9"/>
  <c r="U130" i="9"/>
  <c r="T130" i="9"/>
  <c r="S130" i="9"/>
  <c r="R130" i="9"/>
  <c r="Q130" i="9"/>
  <c r="P130" i="9"/>
  <c r="O130" i="9"/>
  <c r="K130" i="9"/>
  <c r="J130" i="9"/>
  <c r="H130" i="9"/>
  <c r="G130" i="9"/>
  <c r="F130" i="9"/>
  <c r="E130" i="9"/>
  <c r="D130" i="9"/>
  <c r="C130" i="9"/>
  <c r="B130" i="9"/>
  <c r="A130" i="9"/>
  <c r="AP129" i="9"/>
  <c r="AO129" i="9"/>
  <c r="AN129" i="9"/>
  <c r="AM129" i="9"/>
  <c r="AK129" i="9"/>
  <c r="AJ129" i="9"/>
  <c r="AI129" i="9"/>
  <c r="AH129" i="9"/>
  <c r="AG129" i="9"/>
  <c r="AF129" i="9"/>
  <c r="AE129" i="9"/>
  <c r="AD129" i="9"/>
  <c r="T129" i="9"/>
  <c r="S129" i="9"/>
  <c r="R129" i="9"/>
  <c r="Q129" i="9"/>
  <c r="P129" i="9"/>
  <c r="O129" i="9"/>
  <c r="K129" i="9"/>
  <c r="J129" i="9"/>
  <c r="H129" i="9"/>
  <c r="G129" i="9"/>
  <c r="F129" i="9"/>
  <c r="E129" i="9"/>
  <c r="D129" i="9"/>
  <c r="C129" i="9"/>
  <c r="B129" i="9"/>
  <c r="A129" i="9"/>
  <c r="AP128" i="9"/>
  <c r="AO128" i="9"/>
  <c r="AK128" i="9"/>
  <c r="AJ128" i="9"/>
  <c r="AI128" i="9"/>
  <c r="AH128" i="9"/>
  <c r="AG128" i="9"/>
  <c r="AF128" i="9"/>
  <c r="AE128" i="9"/>
  <c r="AD128" i="9"/>
  <c r="AA128" i="9"/>
  <c r="W128" i="9"/>
  <c r="V128" i="9"/>
  <c r="T128" i="9"/>
  <c r="S128" i="9"/>
  <c r="R128" i="9"/>
  <c r="Q128" i="9"/>
  <c r="P128" i="9"/>
  <c r="O128" i="9"/>
  <c r="L128" i="9"/>
  <c r="K128" i="9"/>
  <c r="J128" i="9"/>
  <c r="I128" i="9"/>
  <c r="H128" i="9"/>
  <c r="G128" i="9"/>
  <c r="F128" i="9"/>
  <c r="E128" i="9"/>
  <c r="D128" i="9"/>
  <c r="C128" i="9"/>
  <c r="B128" i="9"/>
  <c r="A128" i="9"/>
  <c r="AP127" i="9"/>
  <c r="AO127" i="9"/>
  <c r="AK127" i="9"/>
  <c r="AJ127" i="9"/>
  <c r="AI127" i="9"/>
  <c r="AH127" i="9"/>
  <c r="AG127" i="9"/>
  <c r="AF127" i="9"/>
  <c r="AE127" i="9"/>
  <c r="AD127" i="9"/>
  <c r="V127" i="9"/>
  <c r="U127" i="9"/>
  <c r="T127" i="9"/>
  <c r="S127" i="9"/>
  <c r="R127" i="9"/>
  <c r="Q127" i="9"/>
  <c r="P127" i="9"/>
  <c r="O127" i="9"/>
  <c r="N127" i="9"/>
  <c r="K127" i="9"/>
  <c r="J127" i="9"/>
  <c r="H127" i="9"/>
  <c r="G127" i="9"/>
  <c r="F127" i="9"/>
  <c r="E127" i="9"/>
  <c r="D127" i="9"/>
  <c r="C127" i="9"/>
  <c r="B127" i="9"/>
  <c r="A127" i="9"/>
  <c r="AP126" i="9"/>
  <c r="AO126" i="9"/>
  <c r="AK126" i="9"/>
  <c r="AJ126" i="9"/>
  <c r="AI126" i="9"/>
  <c r="AH126" i="9"/>
  <c r="AG126" i="9"/>
  <c r="AF126" i="9"/>
  <c r="AE126" i="9"/>
  <c r="AD126" i="9"/>
  <c r="AA126" i="9"/>
  <c r="W126" i="9"/>
  <c r="V126" i="9"/>
  <c r="T126" i="9"/>
  <c r="S126" i="9"/>
  <c r="R126" i="9"/>
  <c r="Q126" i="9"/>
  <c r="P126" i="9"/>
  <c r="O126" i="9"/>
  <c r="L126" i="9"/>
  <c r="K126" i="9"/>
  <c r="J126" i="9"/>
  <c r="H126" i="9"/>
  <c r="G126" i="9"/>
  <c r="F126" i="9"/>
  <c r="E126" i="9"/>
  <c r="D126" i="9"/>
  <c r="C126" i="9"/>
  <c r="B126" i="9"/>
  <c r="A126" i="9"/>
  <c r="AP125" i="9"/>
  <c r="AO125" i="9"/>
  <c r="AN125" i="9"/>
  <c r="AM125" i="9"/>
  <c r="AK125" i="9"/>
  <c r="AJ125" i="9"/>
  <c r="AI125" i="9"/>
  <c r="AH125" i="9"/>
  <c r="AG125" i="9"/>
  <c r="AF125" i="9"/>
  <c r="AE125" i="9"/>
  <c r="AD125" i="9"/>
  <c r="W125" i="9"/>
  <c r="T125" i="9"/>
  <c r="S125" i="9"/>
  <c r="R125" i="9"/>
  <c r="Q125" i="9"/>
  <c r="P125" i="9"/>
  <c r="O125" i="9"/>
  <c r="K125" i="9"/>
  <c r="J125" i="9"/>
  <c r="I125" i="9"/>
  <c r="H125" i="9"/>
  <c r="G125" i="9"/>
  <c r="F125" i="9"/>
  <c r="E125" i="9"/>
  <c r="D125" i="9"/>
  <c r="C125" i="9"/>
  <c r="B125" i="9"/>
  <c r="A125" i="9"/>
  <c r="AP124" i="9"/>
  <c r="AO124" i="9"/>
  <c r="AK124" i="9"/>
  <c r="AJ124" i="9"/>
  <c r="AI124" i="9"/>
  <c r="AH124" i="9"/>
  <c r="AG124" i="9"/>
  <c r="AF124" i="9"/>
  <c r="AE124" i="9"/>
  <c r="AD124" i="9"/>
  <c r="U124" i="9"/>
  <c r="T124" i="9"/>
  <c r="S124" i="9"/>
  <c r="R124" i="9"/>
  <c r="Q124" i="9"/>
  <c r="O124" i="9"/>
  <c r="M124" i="9"/>
  <c r="L124" i="9"/>
  <c r="K124" i="9"/>
  <c r="J124" i="9"/>
  <c r="H124" i="9"/>
  <c r="G124" i="9"/>
  <c r="F124" i="9"/>
  <c r="E124" i="9"/>
  <c r="D124" i="9"/>
  <c r="C124" i="9"/>
  <c r="B124" i="9"/>
  <c r="A124" i="9"/>
  <c r="AP123" i="9"/>
  <c r="AO123" i="9"/>
  <c r="AK123" i="9"/>
  <c r="AJ123" i="9"/>
  <c r="AI123" i="9"/>
  <c r="AH123" i="9"/>
  <c r="AG123" i="9"/>
  <c r="AF123" i="9"/>
  <c r="AE123" i="9"/>
  <c r="AD123" i="9"/>
  <c r="AA123" i="9"/>
  <c r="U123" i="9"/>
  <c r="T123" i="9"/>
  <c r="S123" i="9"/>
  <c r="R123" i="9"/>
  <c r="Q123" i="9"/>
  <c r="M123" i="9"/>
  <c r="L123" i="9"/>
  <c r="K123" i="9"/>
  <c r="J123" i="9"/>
  <c r="H123" i="9"/>
  <c r="G123" i="9"/>
  <c r="F123" i="9"/>
  <c r="E123" i="9"/>
  <c r="D123" i="9"/>
  <c r="C123" i="9"/>
  <c r="B123" i="9"/>
  <c r="A123" i="9"/>
  <c r="AP122" i="9"/>
  <c r="AO122" i="9"/>
  <c r="AK122" i="9"/>
  <c r="AJ122" i="9"/>
  <c r="AI122" i="9"/>
  <c r="AH122" i="9"/>
  <c r="AG122" i="9"/>
  <c r="G122" i="9"/>
  <c r="F122" i="9"/>
  <c r="E122" i="9"/>
  <c r="C122" i="9"/>
  <c r="B122" i="9"/>
  <c r="A122" i="9"/>
  <c r="AP121" i="9"/>
  <c r="AO121" i="9"/>
  <c r="AN121" i="9"/>
  <c r="AM121" i="9"/>
  <c r="AK121" i="9"/>
  <c r="AJ121" i="9"/>
  <c r="AI121" i="9"/>
  <c r="AH121" i="9"/>
  <c r="AG121" i="9"/>
  <c r="AF121" i="9"/>
  <c r="AE121" i="9"/>
  <c r="AD121" i="9"/>
  <c r="AA121" i="9"/>
  <c r="R121" i="9"/>
  <c r="Q121" i="9"/>
  <c r="P121" i="9"/>
  <c r="O121" i="9"/>
  <c r="K121" i="9"/>
  <c r="J121" i="9"/>
  <c r="H121" i="9"/>
  <c r="G121" i="9"/>
  <c r="F121" i="9"/>
  <c r="E121" i="9"/>
  <c r="D121" i="9"/>
  <c r="C121" i="9"/>
  <c r="B121" i="9"/>
  <c r="A121" i="9"/>
  <c r="AP120" i="9"/>
  <c r="AO120" i="9"/>
  <c r="AK120" i="9"/>
  <c r="AJ120" i="9"/>
  <c r="AI120" i="9"/>
  <c r="AH120" i="9"/>
  <c r="AG120" i="9"/>
  <c r="AF120" i="9"/>
  <c r="AE120" i="9"/>
  <c r="AD120" i="9"/>
  <c r="U120" i="9"/>
  <c r="T120" i="9"/>
  <c r="S120" i="9"/>
  <c r="R120" i="9"/>
  <c r="Q120" i="9"/>
  <c r="P120" i="9"/>
  <c r="O120" i="9"/>
  <c r="N120" i="9"/>
  <c r="K120" i="9"/>
  <c r="J120" i="9"/>
  <c r="I120" i="9"/>
  <c r="H120" i="9"/>
  <c r="G120" i="9"/>
  <c r="F120" i="9"/>
  <c r="E120" i="9"/>
  <c r="D120" i="9"/>
  <c r="C120" i="9"/>
  <c r="B120" i="9"/>
  <c r="A120" i="9"/>
  <c r="AP119" i="9"/>
  <c r="AO119" i="9"/>
  <c r="AK119" i="9"/>
  <c r="AJ119" i="9"/>
  <c r="AI119" i="9"/>
  <c r="AH119" i="9"/>
  <c r="AG119" i="9"/>
  <c r="AF119" i="9"/>
  <c r="AE119" i="9"/>
  <c r="AD119" i="9"/>
  <c r="AA119" i="9"/>
  <c r="Y119" i="9"/>
  <c r="X119" i="9"/>
  <c r="T119" i="9"/>
  <c r="S119" i="9"/>
  <c r="P119" i="9"/>
  <c r="O119" i="9"/>
  <c r="L119" i="9"/>
  <c r="K119" i="9"/>
  <c r="J119" i="9"/>
  <c r="H119" i="9"/>
  <c r="G119" i="9"/>
  <c r="F119" i="9"/>
  <c r="E119" i="9"/>
  <c r="D119" i="9"/>
  <c r="C119" i="9"/>
  <c r="B119" i="9"/>
  <c r="A119" i="9"/>
  <c r="AP118" i="9"/>
  <c r="AO118" i="9"/>
  <c r="AN118" i="9"/>
  <c r="AM118" i="9"/>
  <c r="AK118" i="9"/>
  <c r="AJ118" i="9"/>
  <c r="AI118" i="9"/>
  <c r="AH118" i="9"/>
  <c r="AG118" i="9"/>
  <c r="AF118" i="9"/>
  <c r="AD118" i="9"/>
  <c r="W118" i="9"/>
  <c r="V118" i="9"/>
  <c r="U118" i="9"/>
  <c r="T118" i="9"/>
  <c r="S118" i="9"/>
  <c r="Q118" i="9"/>
  <c r="P118" i="9"/>
  <c r="O118" i="9"/>
  <c r="M118" i="9"/>
  <c r="L118" i="9"/>
  <c r="K118" i="9"/>
  <c r="J118" i="9"/>
  <c r="H118" i="9"/>
  <c r="G118" i="9"/>
  <c r="F118" i="9"/>
  <c r="E118" i="9"/>
  <c r="D118" i="9"/>
  <c r="C118" i="9"/>
  <c r="B118" i="9"/>
  <c r="A118" i="9"/>
  <c r="AP117" i="9"/>
  <c r="AO117" i="9"/>
  <c r="AK117" i="9"/>
  <c r="AJ117" i="9"/>
  <c r="AI117" i="9"/>
  <c r="AH117" i="9"/>
  <c r="AG117" i="9"/>
  <c r="AF117" i="9"/>
  <c r="AE117" i="9"/>
  <c r="AD117" i="9"/>
  <c r="U117" i="9"/>
  <c r="T117" i="9"/>
  <c r="S117" i="9"/>
  <c r="Q117" i="9"/>
  <c r="O117" i="9"/>
  <c r="K117" i="9"/>
  <c r="J117" i="9"/>
  <c r="I117" i="9"/>
  <c r="H117" i="9"/>
  <c r="G117" i="9"/>
  <c r="F117" i="9"/>
  <c r="E117" i="9"/>
  <c r="D117" i="9"/>
  <c r="C117" i="9"/>
  <c r="B117" i="9"/>
  <c r="A117" i="9"/>
  <c r="AP116" i="9"/>
  <c r="AO116" i="9"/>
  <c r="AN116" i="9"/>
  <c r="AM116" i="9"/>
  <c r="AK116" i="9"/>
  <c r="AJ116" i="9"/>
  <c r="AI116" i="9"/>
  <c r="AH116" i="9"/>
  <c r="AG116" i="9"/>
  <c r="AF116" i="9"/>
  <c r="U116" i="9"/>
  <c r="T116" i="9"/>
  <c r="S116" i="9"/>
  <c r="R116" i="9"/>
  <c r="L116" i="9"/>
  <c r="K116" i="9"/>
  <c r="J116" i="9"/>
  <c r="H116" i="9"/>
  <c r="G116" i="9"/>
  <c r="F116" i="9"/>
  <c r="E116" i="9"/>
  <c r="C116" i="9"/>
  <c r="B116" i="9"/>
  <c r="A116" i="9"/>
  <c r="AP115" i="9"/>
  <c r="AO115" i="9"/>
  <c r="AK115" i="9"/>
  <c r="AJ115" i="9"/>
  <c r="AI115" i="9"/>
  <c r="AH115" i="9"/>
  <c r="AG115" i="9"/>
  <c r="AF115" i="9"/>
  <c r="AE115" i="9"/>
  <c r="AD115" i="9"/>
  <c r="T115" i="9"/>
  <c r="S115" i="9"/>
  <c r="R115" i="9"/>
  <c r="Q115" i="9"/>
  <c r="P115" i="9"/>
  <c r="O115" i="9"/>
  <c r="L115" i="9"/>
  <c r="K115" i="9"/>
  <c r="J115" i="9"/>
  <c r="H115" i="9"/>
  <c r="G115" i="9"/>
  <c r="F115" i="9"/>
  <c r="E115" i="9"/>
  <c r="D115" i="9"/>
  <c r="C115" i="9"/>
  <c r="B115" i="9"/>
  <c r="A115" i="9"/>
  <c r="AP114" i="9"/>
  <c r="AO114" i="9"/>
  <c r="AK114" i="9"/>
  <c r="AJ114" i="9"/>
  <c r="AI114" i="9"/>
  <c r="AH114" i="9"/>
  <c r="AG114" i="9"/>
  <c r="AF114" i="9"/>
  <c r="AE114" i="9"/>
  <c r="AD114" i="9"/>
  <c r="W114" i="9"/>
  <c r="V114" i="9"/>
  <c r="U114" i="9"/>
  <c r="T114" i="9"/>
  <c r="S114" i="9"/>
  <c r="R114" i="9"/>
  <c r="Q114" i="9"/>
  <c r="K114" i="9"/>
  <c r="J114" i="9"/>
  <c r="I114" i="9"/>
  <c r="H114" i="9"/>
  <c r="G114" i="9"/>
  <c r="F114" i="9"/>
  <c r="E114" i="9"/>
  <c r="D114" i="9"/>
  <c r="C114" i="9"/>
  <c r="B114" i="9"/>
  <c r="A114" i="9"/>
  <c r="AP113" i="9"/>
  <c r="AO113" i="9"/>
  <c r="AK113" i="9"/>
  <c r="AJ113" i="9"/>
  <c r="AI113" i="9"/>
  <c r="AH113" i="9"/>
  <c r="AG113" i="9"/>
  <c r="AF113" i="9"/>
  <c r="AE113" i="9"/>
  <c r="AD113" i="9"/>
  <c r="T113" i="9"/>
  <c r="S113" i="9"/>
  <c r="R113" i="9"/>
  <c r="Q113" i="9"/>
  <c r="P113" i="9"/>
  <c r="O113" i="9"/>
  <c r="N113" i="9"/>
  <c r="M113" i="9"/>
  <c r="L113" i="9"/>
  <c r="K113" i="9"/>
  <c r="J113" i="9"/>
  <c r="I113" i="9"/>
  <c r="H113" i="9"/>
  <c r="G113" i="9"/>
  <c r="F113" i="9"/>
  <c r="E113" i="9"/>
  <c r="D113" i="9"/>
  <c r="C113" i="9"/>
  <c r="B113" i="9"/>
  <c r="A113" i="9"/>
  <c r="AP112" i="9"/>
  <c r="AO112" i="9"/>
  <c r="AK112" i="9"/>
  <c r="AJ112" i="9"/>
  <c r="AI112" i="9"/>
  <c r="AH112" i="9"/>
  <c r="AG112" i="9"/>
  <c r="AF112" i="9"/>
  <c r="AE112" i="9"/>
  <c r="AD112" i="9"/>
  <c r="T112" i="9"/>
  <c r="S112" i="9"/>
  <c r="R112" i="9"/>
  <c r="Q112" i="9"/>
  <c r="P112" i="9"/>
  <c r="O112" i="9"/>
  <c r="N112" i="9"/>
  <c r="M112" i="9"/>
  <c r="L112" i="9"/>
  <c r="K112" i="9"/>
  <c r="J112" i="9"/>
  <c r="I112" i="9"/>
  <c r="H112" i="9"/>
  <c r="G112" i="9"/>
  <c r="F112" i="9"/>
  <c r="E112" i="9"/>
  <c r="D112" i="9"/>
  <c r="C112" i="9"/>
  <c r="B112" i="9"/>
  <c r="A112" i="9"/>
  <c r="AP111" i="9"/>
  <c r="AO111" i="9"/>
  <c r="AK111" i="9"/>
  <c r="AJ111" i="9"/>
  <c r="AI111" i="9"/>
  <c r="AH111" i="9"/>
  <c r="AG111" i="9"/>
  <c r="AF111" i="9"/>
  <c r="AE111" i="9"/>
  <c r="AD111" i="9"/>
  <c r="T111" i="9"/>
  <c r="S111" i="9"/>
  <c r="R111" i="9"/>
  <c r="Q111" i="9"/>
  <c r="P111" i="9"/>
  <c r="O111" i="9"/>
  <c r="N111" i="9"/>
  <c r="K111" i="9"/>
  <c r="J111" i="9"/>
  <c r="I111" i="9"/>
  <c r="H111" i="9"/>
  <c r="G111" i="9"/>
  <c r="F111" i="9"/>
  <c r="E111" i="9"/>
  <c r="D111" i="9"/>
  <c r="C111" i="9"/>
  <c r="B111" i="9"/>
  <c r="A111" i="9"/>
  <c r="AP110" i="9"/>
  <c r="AO110" i="9"/>
  <c r="AN110" i="9"/>
  <c r="AM110" i="9"/>
  <c r="AK110" i="9"/>
  <c r="AJ110" i="9"/>
  <c r="AI110" i="9"/>
  <c r="AH110" i="9"/>
  <c r="AG110" i="9"/>
  <c r="AF110" i="9"/>
  <c r="AE110" i="9"/>
  <c r="AD110" i="9"/>
  <c r="T110" i="9"/>
  <c r="S110" i="9"/>
  <c r="R110" i="9"/>
  <c r="Q110" i="9"/>
  <c r="P110" i="9"/>
  <c r="O110" i="9"/>
  <c r="N110" i="9"/>
  <c r="K110" i="9"/>
  <c r="J110" i="9"/>
  <c r="I110" i="9"/>
  <c r="H110" i="9"/>
  <c r="G110" i="9"/>
  <c r="F110" i="9"/>
  <c r="E110" i="9"/>
  <c r="D110" i="9"/>
  <c r="C110" i="9"/>
  <c r="B110" i="9"/>
  <c r="A110" i="9"/>
  <c r="AP109" i="9"/>
  <c r="AO109" i="9"/>
  <c r="AN109" i="9"/>
  <c r="AM109" i="9"/>
  <c r="AK109" i="9"/>
  <c r="AJ109" i="9"/>
  <c r="AI109" i="9"/>
  <c r="AH109" i="9"/>
  <c r="AG109" i="9"/>
  <c r="AF109" i="9"/>
  <c r="AE109" i="9"/>
  <c r="AD109" i="9"/>
  <c r="T109" i="9"/>
  <c r="S109" i="9"/>
  <c r="R109" i="9"/>
  <c r="Q109" i="9"/>
  <c r="P109" i="9"/>
  <c r="O109" i="9"/>
  <c r="N109" i="9"/>
  <c r="K109" i="9"/>
  <c r="J109" i="9"/>
  <c r="I109" i="9"/>
  <c r="H109" i="9"/>
  <c r="G109" i="9"/>
  <c r="F109" i="9"/>
  <c r="E109" i="9"/>
  <c r="D109" i="9"/>
  <c r="C109" i="9"/>
  <c r="B109" i="9"/>
  <c r="A109" i="9"/>
  <c r="AP108" i="9"/>
  <c r="AO108" i="9"/>
  <c r="AN108" i="9"/>
  <c r="AM108" i="9"/>
  <c r="AK108" i="9"/>
  <c r="AJ108" i="9"/>
  <c r="AI108" i="9"/>
  <c r="AH108" i="9"/>
  <c r="AG108" i="9"/>
  <c r="AF108" i="9"/>
  <c r="AE108" i="9"/>
  <c r="AD108" i="9"/>
  <c r="U108" i="9"/>
  <c r="T108" i="9"/>
  <c r="S108" i="9"/>
  <c r="R108" i="9"/>
  <c r="Q108" i="9"/>
  <c r="P108" i="9"/>
  <c r="O108" i="9"/>
  <c r="N108" i="9"/>
  <c r="K108" i="9"/>
  <c r="J108" i="9"/>
  <c r="I108" i="9"/>
  <c r="H108" i="9"/>
  <c r="G108" i="9"/>
  <c r="F108" i="9"/>
  <c r="E108" i="9"/>
  <c r="D108" i="9"/>
  <c r="C108" i="9"/>
  <c r="B108" i="9"/>
  <c r="A108" i="9"/>
  <c r="AP107" i="9"/>
  <c r="AO107" i="9"/>
  <c r="AK107" i="9"/>
  <c r="AJ107" i="9"/>
  <c r="AI107" i="9"/>
  <c r="AH107" i="9"/>
  <c r="AG107" i="9"/>
  <c r="AF107" i="9"/>
  <c r="AE107" i="9"/>
  <c r="AD107" i="9"/>
  <c r="T107" i="9"/>
  <c r="S107" i="9"/>
  <c r="R107" i="9"/>
  <c r="Q107" i="9"/>
  <c r="P107" i="9"/>
  <c r="O107" i="9"/>
  <c r="N107" i="9"/>
  <c r="M107" i="9"/>
  <c r="L107" i="9"/>
  <c r="K107" i="9"/>
  <c r="J107" i="9"/>
  <c r="I107" i="9"/>
  <c r="H107" i="9"/>
  <c r="G107" i="9"/>
  <c r="F107" i="9"/>
  <c r="E107" i="9"/>
  <c r="D107" i="9"/>
  <c r="C107" i="9"/>
  <c r="B107" i="9"/>
  <c r="A107" i="9"/>
  <c r="AP106" i="9"/>
  <c r="AO106" i="9"/>
  <c r="AN106" i="9"/>
  <c r="AM106" i="9"/>
  <c r="AK106" i="9"/>
  <c r="AJ106" i="9"/>
  <c r="AI106" i="9"/>
  <c r="AH106" i="9"/>
  <c r="AG106" i="9"/>
  <c r="AF106" i="9"/>
  <c r="AE106" i="9"/>
  <c r="AD106" i="9"/>
  <c r="U106" i="9"/>
  <c r="T106" i="9"/>
  <c r="S106" i="9"/>
  <c r="R106" i="9"/>
  <c r="Q106" i="9"/>
  <c r="P106" i="9"/>
  <c r="O106" i="9"/>
  <c r="N106" i="9"/>
  <c r="K106" i="9"/>
  <c r="J106" i="9"/>
  <c r="I106" i="9"/>
  <c r="H106" i="9"/>
  <c r="G106" i="9"/>
  <c r="F106" i="9"/>
  <c r="E106" i="9"/>
  <c r="D106" i="9"/>
  <c r="C106" i="9"/>
  <c r="B106" i="9"/>
  <c r="A106" i="9"/>
  <c r="AP105" i="9"/>
  <c r="AO105" i="9"/>
  <c r="AN105" i="9"/>
  <c r="AM105" i="9"/>
  <c r="AK105" i="9"/>
  <c r="AJ105" i="9"/>
  <c r="AI105" i="9"/>
  <c r="AH105" i="9"/>
  <c r="AG105" i="9"/>
  <c r="AF105" i="9"/>
  <c r="AE105" i="9"/>
  <c r="AD105" i="9"/>
  <c r="T105" i="9"/>
  <c r="S105" i="9"/>
  <c r="R105" i="9"/>
  <c r="Q105" i="9"/>
  <c r="P105" i="9"/>
  <c r="O105" i="9"/>
  <c r="N105" i="9"/>
  <c r="M105" i="9"/>
  <c r="L105" i="9"/>
  <c r="K105" i="9"/>
  <c r="J105" i="9"/>
  <c r="I105" i="9"/>
  <c r="H105" i="9"/>
  <c r="G105" i="9"/>
  <c r="F105" i="9"/>
  <c r="E105" i="9"/>
  <c r="D105" i="9"/>
  <c r="C105" i="9"/>
  <c r="B105" i="9"/>
  <c r="A105" i="9"/>
  <c r="AP104" i="9"/>
  <c r="AO104" i="9"/>
  <c r="AK104" i="9"/>
  <c r="AJ104" i="9"/>
  <c r="AI104" i="9"/>
  <c r="AH104" i="9"/>
  <c r="AG104" i="9"/>
  <c r="AF104" i="9"/>
  <c r="AE104" i="9"/>
  <c r="AD104" i="9"/>
  <c r="U104" i="9"/>
  <c r="T104" i="9"/>
  <c r="S104" i="9"/>
  <c r="R104" i="9"/>
  <c r="Q104" i="9"/>
  <c r="P104" i="9"/>
  <c r="O104" i="9"/>
  <c r="N104" i="9"/>
  <c r="K104" i="9"/>
  <c r="J104" i="9"/>
  <c r="I104" i="9"/>
  <c r="H104" i="9"/>
  <c r="G104" i="9"/>
  <c r="F104" i="9"/>
  <c r="E104" i="9"/>
  <c r="D104" i="9"/>
  <c r="C104" i="9"/>
  <c r="B104" i="9"/>
  <c r="A104" i="9"/>
  <c r="AP103" i="9"/>
  <c r="AO103" i="9"/>
  <c r="AK103" i="9"/>
  <c r="AJ103" i="9"/>
  <c r="AI103" i="9"/>
  <c r="AH103" i="9"/>
  <c r="AG103" i="9"/>
  <c r="AE103" i="9"/>
  <c r="AD103" i="9"/>
  <c r="AA103" i="9"/>
  <c r="Y103" i="9"/>
  <c r="U103" i="9"/>
  <c r="T103" i="9"/>
  <c r="S103" i="9"/>
  <c r="R103" i="9"/>
  <c r="Q103" i="9"/>
  <c r="P103" i="9"/>
  <c r="O103" i="9"/>
  <c r="N103" i="9"/>
  <c r="L103" i="9"/>
  <c r="K103" i="9"/>
  <c r="J103" i="9"/>
  <c r="G103" i="9"/>
  <c r="F103" i="9"/>
  <c r="E103" i="9"/>
  <c r="D103" i="9"/>
  <c r="C103" i="9"/>
  <c r="B103" i="9"/>
  <c r="A103" i="9"/>
  <c r="AP102" i="9"/>
  <c r="AO102" i="9"/>
  <c r="AK102" i="9"/>
  <c r="AJ102" i="9"/>
  <c r="AI102" i="9"/>
  <c r="AH102" i="9"/>
  <c r="AG102" i="9"/>
  <c r="AE102" i="9"/>
  <c r="AD102" i="9"/>
  <c r="AA102" i="9"/>
  <c r="U102" i="9"/>
  <c r="T102" i="9"/>
  <c r="S102" i="9"/>
  <c r="R102" i="9"/>
  <c r="Q102" i="9"/>
  <c r="P102" i="9"/>
  <c r="O102" i="9"/>
  <c r="K102" i="9"/>
  <c r="J102" i="9"/>
  <c r="G102" i="9"/>
  <c r="F102" i="9"/>
  <c r="E102" i="9"/>
  <c r="D102" i="9"/>
  <c r="C102" i="9"/>
  <c r="B102" i="9"/>
  <c r="A102" i="9"/>
  <c r="AP101" i="9"/>
  <c r="AO101" i="9"/>
  <c r="AK101" i="9"/>
  <c r="AJ101" i="9"/>
  <c r="AI101" i="9"/>
  <c r="AH101" i="9"/>
  <c r="AG101" i="9"/>
  <c r="AE101" i="9"/>
  <c r="AD101" i="9"/>
  <c r="U101" i="9"/>
  <c r="T101" i="9"/>
  <c r="S101" i="9"/>
  <c r="R101" i="9"/>
  <c r="Q101" i="9"/>
  <c r="P101" i="9"/>
  <c r="O101" i="9"/>
  <c r="N101" i="9"/>
  <c r="K101" i="9"/>
  <c r="J101" i="9"/>
  <c r="G101" i="9"/>
  <c r="F101" i="9"/>
  <c r="E101" i="9"/>
  <c r="D101" i="9"/>
  <c r="C101" i="9"/>
  <c r="B101" i="9"/>
  <c r="A101" i="9"/>
  <c r="AP100" i="9"/>
  <c r="AO100" i="9"/>
  <c r="AK100" i="9"/>
  <c r="AJ100" i="9"/>
  <c r="AI100" i="9"/>
  <c r="AH100" i="9"/>
  <c r="AG100" i="9"/>
  <c r="AE100" i="9"/>
  <c r="AD100" i="9"/>
  <c r="AB100" i="9"/>
  <c r="AA100" i="9"/>
  <c r="X100" i="9"/>
  <c r="W100" i="9"/>
  <c r="T100" i="9"/>
  <c r="S100" i="9"/>
  <c r="R100" i="9"/>
  <c r="Q100" i="9"/>
  <c r="P100" i="9"/>
  <c r="O100" i="9"/>
  <c r="L100" i="9"/>
  <c r="K100" i="9"/>
  <c r="J100" i="9"/>
  <c r="G100" i="9"/>
  <c r="F100" i="9"/>
  <c r="E100" i="9"/>
  <c r="D100" i="9"/>
  <c r="C100" i="9"/>
  <c r="B100" i="9"/>
  <c r="A100" i="9"/>
  <c r="AP99" i="9"/>
  <c r="AO99" i="9"/>
  <c r="AN99" i="9"/>
  <c r="AM99" i="9"/>
  <c r="AK99" i="9"/>
  <c r="AJ99" i="9"/>
  <c r="AI99" i="9"/>
  <c r="AH99" i="9"/>
  <c r="AG99" i="9"/>
  <c r="L99" i="9"/>
  <c r="K99" i="9"/>
  <c r="J99" i="9"/>
  <c r="G99" i="9"/>
  <c r="F99" i="9"/>
  <c r="E99" i="9"/>
  <c r="C99" i="9"/>
  <c r="B99" i="9"/>
  <c r="A99" i="9"/>
  <c r="AP98" i="9"/>
  <c r="AO98" i="9"/>
  <c r="AN98" i="9"/>
  <c r="AM98" i="9"/>
  <c r="AK98" i="9"/>
  <c r="AJ98" i="9"/>
  <c r="AI98" i="9"/>
  <c r="AH98" i="9"/>
  <c r="AG98" i="9"/>
  <c r="AE98" i="9"/>
  <c r="AD98" i="9"/>
  <c r="AA98" i="9"/>
  <c r="V98" i="9"/>
  <c r="U98" i="9"/>
  <c r="T98" i="9"/>
  <c r="S98" i="9"/>
  <c r="R98" i="9"/>
  <c r="Q98" i="9"/>
  <c r="P98" i="9"/>
  <c r="O98" i="9"/>
  <c r="K98" i="9"/>
  <c r="J98" i="9"/>
  <c r="G98" i="9"/>
  <c r="F98" i="9"/>
  <c r="E98" i="9"/>
  <c r="D98" i="9"/>
  <c r="C98" i="9"/>
  <c r="B98" i="9"/>
  <c r="A98" i="9"/>
  <c r="AP97" i="9"/>
  <c r="AO97" i="9"/>
  <c r="AN97" i="9"/>
  <c r="AM97" i="9"/>
  <c r="AK97" i="9"/>
  <c r="AJ97" i="9"/>
  <c r="AI97" i="9"/>
  <c r="AH97" i="9"/>
  <c r="AG97" i="9"/>
  <c r="AD97" i="9"/>
  <c r="T97" i="9"/>
  <c r="S97" i="9"/>
  <c r="R97" i="9"/>
  <c r="Q97" i="9"/>
  <c r="P97" i="9"/>
  <c r="O97" i="9"/>
  <c r="L97" i="9"/>
  <c r="K97" i="9"/>
  <c r="J97" i="9"/>
  <c r="G97" i="9"/>
  <c r="F97" i="9"/>
  <c r="E97" i="9"/>
  <c r="D97" i="9"/>
  <c r="C97" i="9"/>
  <c r="B97" i="9"/>
  <c r="A97" i="9"/>
  <c r="AP96" i="9"/>
  <c r="AO96" i="9"/>
  <c r="AN96" i="9"/>
  <c r="AM96" i="9"/>
  <c r="AK96" i="9"/>
  <c r="AJ96" i="9"/>
  <c r="AI96" i="9"/>
  <c r="AH96" i="9"/>
  <c r="AG96" i="9"/>
  <c r="AE96" i="9"/>
  <c r="AD96" i="9"/>
  <c r="AA96" i="9"/>
  <c r="X96" i="9"/>
  <c r="S96" i="9"/>
  <c r="R96" i="9"/>
  <c r="Q96" i="9"/>
  <c r="P96" i="9"/>
  <c r="O96" i="9"/>
  <c r="L96" i="9"/>
  <c r="K96" i="9"/>
  <c r="J96" i="9"/>
  <c r="G96" i="9"/>
  <c r="F96" i="9"/>
  <c r="E96" i="9"/>
  <c r="D96" i="9"/>
  <c r="C96" i="9"/>
  <c r="B96" i="9"/>
  <c r="A96" i="9"/>
  <c r="AP95" i="9"/>
  <c r="AO95" i="9"/>
  <c r="AN95" i="9"/>
  <c r="AM95" i="9"/>
  <c r="AK95" i="9"/>
  <c r="AJ95" i="9"/>
  <c r="AI95" i="9"/>
  <c r="AH95" i="9"/>
  <c r="AG95" i="9"/>
  <c r="AE95" i="9"/>
  <c r="AD95" i="9"/>
  <c r="AA95" i="9"/>
  <c r="T95" i="9"/>
  <c r="S95" i="9"/>
  <c r="R95" i="9"/>
  <c r="Q95" i="9"/>
  <c r="P95" i="9"/>
  <c r="L95" i="9"/>
  <c r="K95" i="9"/>
  <c r="J95" i="9"/>
  <c r="G95" i="9"/>
  <c r="F95" i="9"/>
  <c r="E95" i="9"/>
  <c r="D95" i="9"/>
  <c r="C95" i="9"/>
  <c r="B95" i="9"/>
  <c r="A95" i="9"/>
  <c r="AP94" i="9"/>
  <c r="AO94" i="9"/>
  <c r="AK94" i="9"/>
  <c r="AJ94" i="9"/>
  <c r="AI94" i="9"/>
  <c r="AH94" i="9"/>
  <c r="AG94" i="9"/>
  <c r="X94" i="9"/>
  <c r="S94" i="9"/>
  <c r="R94" i="9"/>
  <c r="Q94" i="9"/>
  <c r="P94" i="9"/>
  <c r="L94" i="9"/>
  <c r="K94" i="9"/>
  <c r="J94" i="9"/>
  <c r="G94" i="9"/>
  <c r="F94" i="9"/>
  <c r="E94" i="9"/>
  <c r="D94" i="9"/>
  <c r="C94" i="9"/>
  <c r="B94" i="9"/>
  <c r="A94" i="9"/>
  <c r="AP93" i="9"/>
  <c r="AO93" i="9"/>
  <c r="AK93" i="9"/>
  <c r="AJ93" i="9"/>
  <c r="AI93" i="9"/>
  <c r="AH93" i="9"/>
  <c r="AG93" i="9"/>
  <c r="K93" i="9"/>
  <c r="J93" i="9"/>
  <c r="H93" i="9"/>
  <c r="G93" i="9"/>
  <c r="F93" i="9"/>
  <c r="E93" i="9"/>
  <c r="C93" i="9"/>
  <c r="B93" i="9"/>
  <c r="A93" i="9"/>
  <c r="AP92" i="9"/>
  <c r="AO92" i="9"/>
  <c r="AN92" i="9"/>
  <c r="AM92" i="9"/>
  <c r="AK92" i="9"/>
  <c r="AJ92" i="9"/>
  <c r="AI92" i="9"/>
  <c r="AH92" i="9"/>
  <c r="AG92" i="9"/>
  <c r="AF92" i="9"/>
  <c r="AE92" i="9"/>
  <c r="AD92" i="9"/>
  <c r="Y92" i="9"/>
  <c r="X92" i="9"/>
  <c r="V92" i="9"/>
  <c r="T92" i="9"/>
  <c r="S92" i="9"/>
  <c r="R92" i="9"/>
  <c r="Q92" i="9"/>
  <c r="P92" i="9"/>
  <c r="O92" i="9"/>
  <c r="L92" i="9"/>
  <c r="K92" i="9"/>
  <c r="J92" i="9"/>
  <c r="H92" i="9"/>
  <c r="G92" i="9"/>
  <c r="F92" i="9"/>
  <c r="E92" i="9"/>
  <c r="D92" i="9"/>
  <c r="C92" i="9"/>
  <c r="B92" i="9"/>
  <c r="A92" i="9"/>
  <c r="AP91" i="9"/>
  <c r="AO91" i="9"/>
  <c r="AK91" i="9"/>
  <c r="AJ91" i="9"/>
  <c r="AI91" i="9"/>
  <c r="AH91" i="9"/>
  <c r="AG91" i="9"/>
  <c r="AF91" i="9"/>
  <c r="AE91" i="9"/>
  <c r="AD91" i="9"/>
  <c r="AB91" i="9"/>
  <c r="AA91" i="9"/>
  <c r="X91" i="9"/>
  <c r="U91" i="9"/>
  <c r="T91" i="9"/>
  <c r="S91" i="9"/>
  <c r="R91" i="9"/>
  <c r="Q91" i="9"/>
  <c r="P91" i="9"/>
  <c r="O91" i="9"/>
  <c r="K91" i="9"/>
  <c r="J91" i="9"/>
  <c r="H91" i="9"/>
  <c r="G91" i="9"/>
  <c r="F91" i="9"/>
  <c r="E91" i="9"/>
  <c r="D91" i="9"/>
  <c r="C91" i="9"/>
  <c r="B91" i="9"/>
  <c r="A91" i="9"/>
  <c r="AP90" i="9"/>
  <c r="AO90" i="9"/>
  <c r="AK90" i="9"/>
  <c r="AJ90" i="9"/>
  <c r="AI90" i="9"/>
  <c r="AH90" i="9"/>
  <c r="AG90" i="9"/>
  <c r="AF90" i="9"/>
  <c r="U90" i="9"/>
  <c r="T90" i="9"/>
  <c r="S90" i="9"/>
  <c r="R90" i="9"/>
  <c r="Q90" i="9"/>
  <c r="P90" i="9"/>
  <c r="O90" i="9"/>
  <c r="K90" i="9"/>
  <c r="J90" i="9"/>
  <c r="H90" i="9"/>
  <c r="G90" i="9"/>
  <c r="F90" i="9"/>
  <c r="E90" i="9"/>
  <c r="D90" i="9"/>
  <c r="C90" i="9"/>
  <c r="B90" i="9"/>
  <c r="A90" i="9"/>
  <c r="AP89" i="9"/>
  <c r="AO89" i="9"/>
  <c r="AK89" i="9"/>
  <c r="AJ89" i="9"/>
  <c r="AI89" i="9"/>
  <c r="AH89" i="9"/>
  <c r="AG89" i="9"/>
  <c r="AF89" i="9"/>
  <c r="AD89" i="9"/>
  <c r="AB89" i="9"/>
  <c r="AA89" i="9"/>
  <c r="X89" i="9"/>
  <c r="U89" i="9"/>
  <c r="T89" i="9"/>
  <c r="S89" i="9"/>
  <c r="R89" i="9"/>
  <c r="Q89" i="9"/>
  <c r="P89" i="9"/>
  <c r="O89" i="9"/>
  <c r="K89" i="9"/>
  <c r="J89" i="9"/>
  <c r="H89" i="9"/>
  <c r="G89" i="9"/>
  <c r="F89" i="9"/>
  <c r="E89" i="9"/>
  <c r="D89" i="9"/>
  <c r="C89" i="9"/>
  <c r="B89" i="9"/>
  <c r="A89" i="9"/>
  <c r="AP88" i="9"/>
  <c r="AO88" i="9"/>
  <c r="AK88" i="9"/>
  <c r="AJ88" i="9"/>
  <c r="AI88" i="9"/>
  <c r="AH88" i="9"/>
  <c r="AG88" i="9"/>
  <c r="AF88" i="9"/>
  <c r="AD88" i="9"/>
  <c r="AA88" i="9"/>
  <c r="X88" i="9"/>
  <c r="U88" i="9"/>
  <c r="T88" i="9"/>
  <c r="S88" i="9"/>
  <c r="R88" i="9"/>
  <c r="Q88" i="9"/>
  <c r="P88" i="9"/>
  <c r="O88" i="9"/>
  <c r="K88" i="9"/>
  <c r="J88" i="9"/>
  <c r="H88" i="9"/>
  <c r="G88" i="9"/>
  <c r="F88" i="9"/>
  <c r="E88" i="9"/>
  <c r="D88" i="9"/>
  <c r="C88" i="9"/>
  <c r="B88" i="9"/>
  <c r="A88" i="9"/>
  <c r="AP87" i="9"/>
  <c r="AO87" i="9"/>
  <c r="AN87" i="9"/>
  <c r="AM87" i="9"/>
  <c r="AK87" i="9"/>
  <c r="AJ87" i="9"/>
  <c r="AI87" i="9"/>
  <c r="AH87" i="9"/>
  <c r="AG87" i="9"/>
  <c r="AF87" i="9"/>
  <c r="AD87" i="9"/>
  <c r="AA87" i="9"/>
  <c r="X87" i="9"/>
  <c r="W87" i="9"/>
  <c r="U87" i="9"/>
  <c r="T87" i="9"/>
  <c r="S87" i="9"/>
  <c r="R87" i="9"/>
  <c r="Q87" i="9"/>
  <c r="P87" i="9"/>
  <c r="O87" i="9"/>
  <c r="K87" i="9"/>
  <c r="J87" i="9"/>
  <c r="H87" i="9"/>
  <c r="G87" i="9"/>
  <c r="F87" i="9"/>
  <c r="E87" i="9"/>
  <c r="D87" i="9"/>
  <c r="C87" i="9"/>
  <c r="B87" i="9"/>
  <c r="A87" i="9"/>
  <c r="AP86" i="9"/>
  <c r="AO86" i="9"/>
  <c r="AN86" i="9"/>
  <c r="AM86" i="9"/>
  <c r="AK86" i="9"/>
  <c r="AJ86" i="9"/>
  <c r="AI86" i="9"/>
  <c r="AH86" i="9"/>
  <c r="AG86" i="9"/>
  <c r="AF86" i="9"/>
  <c r="AD86" i="9"/>
  <c r="AA86" i="9"/>
  <c r="X86" i="9"/>
  <c r="T86" i="9"/>
  <c r="S86" i="9"/>
  <c r="R86" i="9"/>
  <c r="Q86" i="9"/>
  <c r="P86" i="9"/>
  <c r="O86" i="9"/>
  <c r="K86" i="9"/>
  <c r="J86" i="9"/>
  <c r="H86" i="9"/>
  <c r="G86" i="9"/>
  <c r="F86" i="9"/>
  <c r="E86" i="9"/>
  <c r="D86" i="9"/>
  <c r="C86" i="9"/>
  <c r="B86" i="9"/>
  <c r="A86" i="9"/>
  <c r="AP85" i="9"/>
  <c r="AO85" i="9"/>
  <c r="AK85" i="9"/>
  <c r="AJ85" i="9"/>
  <c r="AI85" i="9"/>
  <c r="AH85" i="9"/>
  <c r="AG85" i="9"/>
  <c r="AF85" i="9"/>
  <c r="AE85" i="9"/>
  <c r="AD85" i="9"/>
  <c r="AA85" i="9"/>
  <c r="V85" i="9"/>
  <c r="T85" i="9"/>
  <c r="S85" i="9"/>
  <c r="R85" i="9"/>
  <c r="Q85" i="9"/>
  <c r="P85" i="9"/>
  <c r="O85" i="9"/>
  <c r="M85" i="9"/>
  <c r="L85" i="9"/>
  <c r="K85" i="9"/>
  <c r="J85" i="9"/>
  <c r="H85" i="9"/>
  <c r="G85" i="9"/>
  <c r="F85" i="9"/>
  <c r="E85" i="9"/>
  <c r="D85" i="9"/>
  <c r="C85" i="9"/>
  <c r="B85" i="9"/>
  <c r="A85" i="9"/>
  <c r="AP84" i="9"/>
  <c r="AO84" i="9"/>
  <c r="AN84" i="9"/>
  <c r="AM84" i="9"/>
  <c r="AK84" i="9"/>
  <c r="AJ84" i="9"/>
  <c r="AI84" i="9"/>
  <c r="AH84" i="9"/>
  <c r="AG84" i="9"/>
  <c r="AF84" i="9"/>
  <c r="AE84" i="9"/>
  <c r="AD84" i="9"/>
  <c r="AA84" i="9"/>
  <c r="T84" i="9"/>
  <c r="S84" i="9"/>
  <c r="R84" i="9"/>
  <c r="Q84" i="9"/>
  <c r="P84" i="9"/>
  <c r="O84" i="9"/>
  <c r="L84" i="9"/>
  <c r="K84" i="9"/>
  <c r="J84" i="9"/>
  <c r="H84" i="9"/>
  <c r="G84" i="9"/>
  <c r="F84" i="9"/>
  <c r="E84" i="9"/>
  <c r="D84" i="9"/>
  <c r="C84" i="9"/>
  <c r="B84" i="9"/>
  <c r="A84" i="9"/>
  <c r="AP83" i="9"/>
  <c r="AO83" i="9"/>
  <c r="AN83" i="9"/>
  <c r="AM83" i="9"/>
  <c r="AK83" i="9"/>
  <c r="AJ83" i="9"/>
  <c r="AI83" i="9"/>
  <c r="AH83" i="9"/>
  <c r="AG83" i="9"/>
  <c r="AF83" i="9"/>
  <c r="AE83" i="9"/>
  <c r="AD83" i="9"/>
  <c r="AB83" i="9"/>
  <c r="AA83" i="9"/>
  <c r="X83" i="9"/>
  <c r="V83" i="9"/>
  <c r="U83" i="9"/>
  <c r="T83" i="9"/>
  <c r="S83" i="9"/>
  <c r="R83" i="9"/>
  <c r="Q83" i="9"/>
  <c r="P83" i="9"/>
  <c r="O83" i="9"/>
  <c r="K83" i="9"/>
  <c r="J83" i="9"/>
  <c r="H83" i="9"/>
  <c r="G83" i="9"/>
  <c r="F83" i="9"/>
  <c r="E83" i="9"/>
  <c r="D83" i="9"/>
  <c r="C83" i="9"/>
  <c r="B83" i="9"/>
  <c r="A83" i="9"/>
  <c r="AP82" i="9"/>
  <c r="AO82" i="9"/>
  <c r="AK82" i="9"/>
  <c r="AJ82" i="9"/>
  <c r="AI82" i="9"/>
  <c r="AH82" i="9"/>
  <c r="AG82" i="9"/>
  <c r="AF82" i="9"/>
  <c r="AE82" i="9"/>
  <c r="L82" i="9"/>
  <c r="K82" i="9"/>
  <c r="J82" i="9"/>
  <c r="I82" i="9"/>
  <c r="H82" i="9"/>
  <c r="G82" i="9"/>
  <c r="F82" i="9"/>
  <c r="E82" i="9"/>
  <c r="C82" i="9"/>
  <c r="B82" i="9"/>
  <c r="A82" i="9"/>
  <c r="AP81" i="9"/>
  <c r="AO81" i="9"/>
  <c r="AN81" i="9"/>
  <c r="AM81" i="9"/>
  <c r="AK81" i="9"/>
  <c r="AJ81" i="9"/>
  <c r="AI81" i="9"/>
  <c r="AH81" i="9"/>
  <c r="AG81" i="9"/>
  <c r="AF81" i="9"/>
  <c r="AD81" i="9"/>
  <c r="T81" i="9"/>
  <c r="S81" i="9"/>
  <c r="R81" i="9"/>
  <c r="Q81" i="9"/>
  <c r="P81" i="9"/>
  <c r="O81" i="9"/>
  <c r="L81" i="9"/>
  <c r="K81" i="9"/>
  <c r="J81" i="9"/>
  <c r="H81" i="9"/>
  <c r="G81" i="9"/>
  <c r="F81" i="9"/>
  <c r="E81" i="9"/>
  <c r="D81" i="9"/>
  <c r="C81" i="9"/>
  <c r="B81" i="9"/>
  <c r="A81" i="9"/>
  <c r="AP80" i="9"/>
  <c r="AO80" i="9"/>
  <c r="AK80" i="9"/>
  <c r="AJ80" i="9"/>
  <c r="AI80" i="9"/>
  <c r="AH80" i="9"/>
  <c r="AG80" i="9"/>
  <c r="AF80" i="9"/>
  <c r="AE80" i="9"/>
  <c r="AD80" i="9"/>
  <c r="X80" i="9"/>
  <c r="T80" i="9"/>
  <c r="S80" i="9"/>
  <c r="R80" i="9"/>
  <c r="Q80" i="9"/>
  <c r="P80" i="9"/>
  <c r="O80" i="9"/>
  <c r="N80" i="9"/>
  <c r="L80" i="9"/>
  <c r="K80" i="9"/>
  <c r="J80" i="9"/>
  <c r="H80" i="9"/>
  <c r="G80" i="9"/>
  <c r="F80" i="9"/>
  <c r="E80" i="9"/>
  <c r="D80" i="9"/>
  <c r="C80" i="9"/>
  <c r="B80" i="9"/>
  <c r="A80" i="9"/>
  <c r="AP79" i="9"/>
  <c r="AO79" i="9"/>
  <c r="AN79" i="9"/>
  <c r="AM79" i="9"/>
  <c r="AK79" i="9"/>
  <c r="AJ79" i="9"/>
  <c r="AI79" i="9"/>
  <c r="AH79" i="9"/>
  <c r="AG79" i="9"/>
  <c r="AF79" i="9"/>
  <c r="AE79" i="9"/>
  <c r="AD79" i="9"/>
  <c r="T79" i="9"/>
  <c r="S79" i="9"/>
  <c r="R79" i="9"/>
  <c r="Q79" i="9"/>
  <c r="P79" i="9"/>
  <c r="O79" i="9"/>
  <c r="N79" i="9"/>
  <c r="K79" i="9"/>
  <c r="J79" i="9"/>
  <c r="H79" i="9"/>
  <c r="G79" i="9"/>
  <c r="F79" i="9"/>
  <c r="E79" i="9"/>
  <c r="D79" i="9"/>
  <c r="C79" i="9"/>
  <c r="B79" i="9"/>
  <c r="A79" i="9"/>
  <c r="AP78" i="9"/>
  <c r="AO78" i="9"/>
  <c r="AK78" i="9"/>
  <c r="AJ78" i="9"/>
  <c r="AI78" i="9"/>
  <c r="AH78" i="9"/>
  <c r="AG78" i="9"/>
  <c r="AF78" i="9"/>
  <c r="AE78" i="9"/>
  <c r="AD78" i="9"/>
  <c r="T78" i="9"/>
  <c r="S78" i="9"/>
  <c r="R78" i="9"/>
  <c r="Q78" i="9"/>
  <c r="P78" i="9"/>
  <c r="O78" i="9"/>
  <c r="N78" i="9"/>
  <c r="M78" i="9"/>
  <c r="L78" i="9"/>
  <c r="K78" i="9"/>
  <c r="J78" i="9"/>
  <c r="I78" i="9"/>
  <c r="H78" i="9"/>
  <c r="G78" i="9"/>
  <c r="F78" i="9"/>
  <c r="E78" i="9"/>
  <c r="D78" i="9"/>
  <c r="C78" i="9"/>
  <c r="B78" i="9"/>
  <c r="A78" i="9"/>
  <c r="AP77" i="9"/>
  <c r="AO77" i="9"/>
  <c r="AN77" i="9"/>
  <c r="AM77" i="9"/>
  <c r="AK77" i="9"/>
  <c r="AJ77" i="9"/>
  <c r="AI77" i="9"/>
  <c r="AH77" i="9"/>
  <c r="AG77" i="9"/>
  <c r="AF77" i="9"/>
  <c r="AE77" i="9"/>
  <c r="AD77" i="9"/>
  <c r="T77" i="9"/>
  <c r="S77" i="9"/>
  <c r="R77" i="9"/>
  <c r="Q77" i="9"/>
  <c r="P77" i="9"/>
  <c r="O77" i="9"/>
  <c r="N77" i="9"/>
  <c r="K77" i="9"/>
  <c r="J77" i="9"/>
  <c r="H77" i="9"/>
  <c r="G77" i="9"/>
  <c r="F77" i="9"/>
  <c r="E77" i="9"/>
  <c r="D77" i="9"/>
  <c r="C77" i="9"/>
  <c r="B77" i="9"/>
  <c r="A77" i="9"/>
  <c r="AP76" i="9"/>
  <c r="AO76" i="9"/>
  <c r="AK76" i="9"/>
  <c r="AJ76" i="9"/>
  <c r="AI76" i="9"/>
  <c r="AH76" i="9"/>
  <c r="AG76" i="9"/>
  <c r="AF76" i="9"/>
  <c r="AE76" i="9"/>
  <c r="AD76" i="9"/>
  <c r="U76" i="9"/>
  <c r="T76" i="9"/>
  <c r="S76" i="9"/>
  <c r="R76" i="9"/>
  <c r="Q76" i="9"/>
  <c r="P76" i="9"/>
  <c r="O76" i="9"/>
  <c r="N76" i="9"/>
  <c r="K76" i="9"/>
  <c r="J76" i="9"/>
  <c r="I76" i="9"/>
  <c r="H76" i="9"/>
  <c r="G76" i="9"/>
  <c r="F76" i="9"/>
  <c r="E76" i="9"/>
  <c r="D76" i="9"/>
  <c r="C76" i="9"/>
  <c r="B76" i="9"/>
  <c r="A76" i="9"/>
  <c r="AP75" i="9"/>
  <c r="AO75" i="9"/>
  <c r="AN75" i="9"/>
  <c r="AM75" i="9"/>
  <c r="AK75" i="9"/>
  <c r="AJ75" i="9"/>
  <c r="AI75" i="9"/>
  <c r="AH75" i="9"/>
  <c r="AG75" i="9"/>
  <c r="AF75" i="9"/>
  <c r="AE75" i="9"/>
  <c r="AD75" i="9"/>
  <c r="V75" i="9"/>
  <c r="T75" i="9"/>
  <c r="S75" i="9"/>
  <c r="R75" i="9"/>
  <c r="Q75" i="9"/>
  <c r="P75" i="9"/>
  <c r="O75" i="9"/>
  <c r="N75" i="9"/>
  <c r="M75" i="9"/>
  <c r="L75" i="9"/>
  <c r="K75" i="9"/>
  <c r="J75" i="9"/>
  <c r="I75" i="9"/>
  <c r="H75" i="9"/>
  <c r="G75" i="9"/>
  <c r="F75" i="9"/>
  <c r="E75" i="9"/>
  <c r="D75" i="9"/>
  <c r="C75" i="9"/>
  <c r="B75" i="9"/>
  <c r="A75" i="9"/>
  <c r="AP74" i="9"/>
  <c r="AO74" i="9"/>
  <c r="AN74" i="9"/>
  <c r="AM74" i="9"/>
  <c r="AK74" i="9"/>
  <c r="AJ74" i="9"/>
  <c r="AI74" i="9"/>
  <c r="AH74" i="9"/>
  <c r="AG74" i="9"/>
  <c r="AF74" i="9"/>
  <c r="AE74" i="9"/>
  <c r="AD74" i="9"/>
  <c r="T74" i="9"/>
  <c r="S74" i="9"/>
  <c r="R74" i="9"/>
  <c r="Q74" i="9"/>
  <c r="P74" i="9"/>
  <c r="O74" i="9"/>
  <c r="N74" i="9"/>
  <c r="M74" i="9"/>
  <c r="L74" i="9"/>
  <c r="K74" i="9"/>
  <c r="J74" i="9"/>
  <c r="I74" i="9"/>
  <c r="H74" i="9"/>
  <c r="G74" i="9"/>
  <c r="F74" i="9"/>
  <c r="E74" i="9"/>
  <c r="D74" i="9"/>
  <c r="C74" i="9"/>
  <c r="B74" i="9"/>
  <c r="A74" i="9"/>
  <c r="AP73" i="9"/>
  <c r="AO73" i="9"/>
  <c r="AN73" i="9"/>
  <c r="AM73" i="9"/>
  <c r="AK73" i="9"/>
  <c r="AJ73" i="9"/>
  <c r="AI73" i="9"/>
  <c r="AH73" i="9"/>
  <c r="AG73" i="9"/>
  <c r="AF73" i="9"/>
  <c r="AE73" i="9"/>
  <c r="AD73" i="9"/>
  <c r="T73" i="9"/>
  <c r="S73" i="9"/>
  <c r="R73" i="9"/>
  <c r="Q73" i="9"/>
  <c r="P73" i="9"/>
  <c r="O73" i="9"/>
  <c r="N73" i="9"/>
  <c r="M73" i="9"/>
  <c r="L73" i="9"/>
  <c r="K73" i="9"/>
  <c r="J73" i="9"/>
  <c r="H73" i="9"/>
  <c r="G73" i="9"/>
  <c r="F73" i="9"/>
  <c r="E73" i="9"/>
  <c r="D73" i="9"/>
  <c r="C73" i="9"/>
  <c r="B73" i="9"/>
  <c r="A73" i="9"/>
  <c r="AP72" i="9"/>
  <c r="AO72" i="9"/>
  <c r="AK72" i="9"/>
  <c r="AJ72" i="9"/>
  <c r="AI72" i="9"/>
  <c r="AH72" i="9"/>
  <c r="AG72" i="9"/>
  <c r="AF72" i="9"/>
  <c r="AE72" i="9"/>
  <c r="AD72" i="9"/>
  <c r="T72" i="9"/>
  <c r="S72" i="9"/>
  <c r="R72" i="9"/>
  <c r="Q72" i="9"/>
  <c r="P72" i="9"/>
  <c r="O72" i="9"/>
  <c r="N72" i="9"/>
  <c r="M72" i="9"/>
  <c r="L72" i="9"/>
  <c r="K72" i="9"/>
  <c r="J72" i="9"/>
  <c r="I72" i="9"/>
  <c r="H72" i="9"/>
  <c r="G72" i="9"/>
  <c r="F72" i="9"/>
  <c r="E72" i="9"/>
  <c r="D72" i="9"/>
  <c r="C72" i="9"/>
  <c r="B72" i="9"/>
  <c r="A72" i="9"/>
  <c r="AP71" i="9"/>
  <c r="AO71" i="9"/>
  <c r="AK71" i="9"/>
  <c r="AJ71" i="9"/>
  <c r="AI71" i="9"/>
  <c r="AH71" i="9"/>
  <c r="AG71" i="9"/>
  <c r="AF71" i="9"/>
  <c r="AE71" i="9"/>
  <c r="AD71" i="9"/>
  <c r="T71" i="9"/>
  <c r="S71" i="9"/>
  <c r="R71" i="9"/>
  <c r="Q71" i="9"/>
  <c r="P71" i="9"/>
  <c r="O71" i="9"/>
  <c r="N71" i="9"/>
  <c r="M71" i="9"/>
  <c r="L71" i="9"/>
  <c r="K71" i="9"/>
  <c r="J71" i="9"/>
  <c r="I71" i="9"/>
  <c r="H71" i="9"/>
  <c r="G71" i="9"/>
  <c r="F71" i="9"/>
  <c r="E71" i="9"/>
  <c r="D71" i="9"/>
  <c r="C71" i="9"/>
  <c r="B71" i="9"/>
  <c r="A71" i="9"/>
  <c r="AP70" i="9"/>
  <c r="AO70" i="9"/>
  <c r="AN70" i="9"/>
  <c r="AM70" i="9"/>
  <c r="AK70" i="9"/>
  <c r="AJ70" i="9"/>
  <c r="AI70" i="9"/>
  <c r="AH70" i="9"/>
  <c r="AG70" i="9"/>
  <c r="L70" i="9"/>
  <c r="K70" i="9"/>
  <c r="J70" i="9"/>
  <c r="H70" i="9"/>
  <c r="G70" i="9"/>
  <c r="F70" i="9"/>
  <c r="E70" i="9"/>
  <c r="C70" i="9"/>
  <c r="B70" i="9"/>
  <c r="A70" i="9"/>
  <c r="AP69" i="9"/>
  <c r="AO69" i="9"/>
  <c r="AN69" i="9"/>
  <c r="AM69" i="9"/>
  <c r="AK69" i="9"/>
  <c r="AJ69" i="9"/>
  <c r="AI69" i="9"/>
  <c r="AH69" i="9"/>
  <c r="AG69" i="9"/>
  <c r="K69" i="9"/>
  <c r="J69" i="9"/>
  <c r="H69" i="9"/>
  <c r="G69" i="9"/>
  <c r="F69" i="9"/>
  <c r="E69" i="9"/>
  <c r="C69" i="9"/>
  <c r="B69" i="9"/>
  <c r="A69" i="9"/>
  <c r="AP68" i="9"/>
  <c r="AO68" i="9"/>
  <c r="AN68" i="9"/>
  <c r="AM68" i="9"/>
  <c r="AK68" i="9"/>
  <c r="AJ68" i="9"/>
  <c r="AI68" i="9"/>
  <c r="AH68" i="9"/>
  <c r="AG68" i="9"/>
  <c r="AF68" i="9"/>
  <c r="AE68" i="9"/>
  <c r="AD68" i="9"/>
  <c r="AA68" i="9"/>
  <c r="T68" i="9"/>
  <c r="S68" i="9"/>
  <c r="R68" i="9"/>
  <c r="Q68" i="9"/>
  <c r="P68" i="9"/>
  <c r="O68" i="9"/>
  <c r="L68" i="9"/>
  <c r="K68" i="9"/>
  <c r="J68" i="9"/>
  <c r="H68" i="9"/>
  <c r="G68" i="9"/>
  <c r="F68" i="9"/>
  <c r="E68" i="9"/>
  <c r="D68" i="9"/>
  <c r="C68" i="9"/>
  <c r="B68" i="9"/>
  <c r="A68" i="9"/>
  <c r="AP67" i="9"/>
  <c r="AO67" i="9"/>
  <c r="AN67" i="9"/>
  <c r="AM67" i="9"/>
  <c r="AK67" i="9"/>
  <c r="AJ67" i="9"/>
  <c r="AI67" i="9"/>
  <c r="AH67" i="9"/>
  <c r="AG67" i="9"/>
  <c r="AF67" i="9"/>
  <c r="AE67" i="9"/>
  <c r="AD67" i="9"/>
  <c r="T67" i="9"/>
  <c r="S67" i="9"/>
  <c r="R67" i="9"/>
  <c r="Q67" i="9"/>
  <c r="P67" i="9"/>
  <c r="O67" i="9"/>
  <c r="H67" i="9"/>
  <c r="G67" i="9"/>
  <c r="F67" i="9"/>
  <c r="E67" i="9"/>
  <c r="D67" i="9"/>
  <c r="C67" i="9"/>
  <c r="B67" i="9"/>
  <c r="A67" i="9"/>
  <c r="AP66" i="9"/>
  <c r="AO66" i="9"/>
  <c r="AN66" i="9"/>
  <c r="AM66" i="9"/>
  <c r="AK66" i="9"/>
  <c r="AJ66" i="9"/>
  <c r="AI66" i="9"/>
  <c r="AH66" i="9"/>
  <c r="AG66" i="9"/>
  <c r="AF66" i="9"/>
  <c r="AE66" i="9"/>
  <c r="AD66" i="9"/>
  <c r="AA66" i="9"/>
  <c r="T66" i="9"/>
  <c r="S66" i="9"/>
  <c r="R66" i="9"/>
  <c r="Q66" i="9"/>
  <c r="P66" i="9"/>
  <c r="O66" i="9"/>
  <c r="L66" i="9"/>
  <c r="K66" i="9"/>
  <c r="J66" i="9"/>
  <c r="H66" i="9"/>
  <c r="G66" i="9"/>
  <c r="F66" i="9"/>
  <c r="E66" i="9"/>
  <c r="D66" i="9"/>
  <c r="C66" i="9"/>
  <c r="B66" i="9"/>
  <c r="A66" i="9"/>
  <c r="AP65" i="9"/>
  <c r="AO65" i="9"/>
  <c r="AN65" i="9"/>
  <c r="AM65" i="9"/>
  <c r="AL65" i="9"/>
  <c r="AK65" i="9"/>
  <c r="AJ65" i="9"/>
  <c r="AI65" i="9"/>
  <c r="AH65" i="9"/>
  <c r="AG65" i="9"/>
  <c r="AF65" i="9"/>
  <c r="AE65" i="9"/>
  <c r="AD65" i="9"/>
  <c r="P65" i="9"/>
  <c r="O65" i="9"/>
  <c r="L65" i="9"/>
  <c r="K65" i="9"/>
  <c r="J65" i="9"/>
  <c r="H65" i="9"/>
  <c r="G65" i="9"/>
  <c r="F65" i="9"/>
  <c r="E65" i="9"/>
  <c r="D65" i="9"/>
  <c r="C65" i="9"/>
  <c r="B65" i="9"/>
  <c r="A65" i="9"/>
  <c r="AP64" i="9"/>
  <c r="AO64" i="9"/>
  <c r="AK64" i="9"/>
  <c r="AJ64" i="9"/>
  <c r="AI64" i="9"/>
  <c r="AH64" i="9"/>
  <c r="AG64" i="9"/>
  <c r="AF64" i="9"/>
  <c r="AB64" i="9"/>
  <c r="AA64" i="9"/>
  <c r="L64" i="9"/>
  <c r="K64" i="9"/>
  <c r="J64" i="9"/>
  <c r="H64" i="9"/>
  <c r="G64" i="9"/>
  <c r="F64" i="9"/>
  <c r="E64" i="9"/>
  <c r="C64" i="9"/>
  <c r="B64" i="9"/>
  <c r="A64" i="9"/>
  <c r="AP63" i="9"/>
  <c r="AO63" i="9"/>
  <c r="AK63" i="9"/>
  <c r="AJ63" i="9"/>
  <c r="AI63" i="9"/>
  <c r="AH63" i="9"/>
  <c r="AG63" i="9"/>
  <c r="AF63" i="9"/>
  <c r="AD63" i="9"/>
  <c r="AB63" i="9"/>
  <c r="V63" i="9"/>
  <c r="U63" i="9"/>
  <c r="T63" i="9"/>
  <c r="S63" i="9"/>
  <c r="R63" i="9"/>
  <c r="Q63" i="9"/>
  <c r="P63" i="9"/>
  <c r="O63" i="9"/>
  <c r="N63" i="9"/>
  <c r="K63" i="9"/>
  <c r="J63" i="9"/>
  <c r="H63" i="9"/>
  <c r="G63" i="9"/>
  <c r="F63" i="9"/>
  <c r="E63" i="9"/>
  <c r="D63" i="9"/>
  <c r="C63" i="9"/>
  <c r="B63" i="9"/>
  <c r="A63" i="9"/>
  <c r="AP62" i="9"/>
  <c r="AO62" i="9"/>
  <c r="AK62" i="9"/>
  <c r="AJ62" i="9"/>
  <c r="AI62" i="9"/>
  <c r="AH62" i="9"/>
  <c r="AG62" i="9"/>
  <c r="AB62" i="9"/>
  <c r="K62" i="9"/>
  <c r="J62" i="9"/>
  <c r="H62" i="9"/>
  <c r="G62" i="9"/>
  <c r="F62" i="9"/>
  <c r="E62" i="9"/>
  <c r="C62" i="9"/>
  <c r="B62" i="9"/>
  <c r="A62" i="9"/>
  <c r="AP61" i="9"/>
  <c r="AO61" i="9"/>
  <c r="AN61" i="9"/>
  <c r="AM61" i="9"/>
  <c r="AK61" i="9"/>
  <c r="AJ61" i="9"/>
  <c r="AI61" i="9"/>
  <c r="AH61" i="9"/>
  <c r="AG61" i="9"/>
  <c r="F61" i="9"/>
  <c r="E61" i="9"/>
  <c r="D61" i="9"/>
  <c r="C61" i="9"/>
  <c r="B61" i="9"/>
  <c r="A61" i="9"/>
  <c r="AP60" i="9"/>
  <c r="AO60" i="9"/>
  <c r="AK60" i="9"/>
  <c r="AJ60" i="9"/>
  <c r="AI60" i="9"/>
  <c r="AH60" i="9"/>
  <c r="AG60" i="9"/>
  <c r="AF60" i="9"/>
  <c r="AE60" i="9"/>
  <c r="AD60" i="9"/>
  <c r="AB60" i="9"/>
  <c r="AA60" i="9"/>
  <c r="V60" i="9"/>
  <c r="U60" i="9"/>
  <c r="T60" i="9"/>
  <c r="S60" i="9"/>
  <c r="R60" i="9"/>
  <c r="Q60" i="9"/>
  <c r="P60" i="9"/>
  <c r="O60" i="9"/>
  <c r="K60" i="9"/>
  <c r="J60" i="9"/>
  <c r="H60" i="9"/>
  <c r="G60" i="9"/>
  <c r="F60" i="9"/>
  <c r="E60" i="9"/>
  <c r="D60" i="9"/>
  <c r="C60" i="9"/>
  <c r="B60" i="9"/>
  <c r="A60" i="9"/>
  <c r="AP59" i="9"/>
  <c r="AO59" i="9"/>
  <c r="AK59" i="9"/>
  <c r="AJ59" i="9"/>
  <c r="AI59" i="9"/>
  <c r="AH59" i="9"/>
  <c r="AG59" i="9"/>
  <c r="AB59" i="9"/>
  <c r="L59" i="9"/>
  <c r="K59" i="9"/>
  <c r="J59" i="9"/>
  <c r="I59" i="9"/>
  <c r="H59" i="9"/>
  <c r="G59" i="9"/>
  <c r="F59" i="9"/>
  <c r="E59" i="9"/>
  <c r="C59" i="9"/>
  <c r="B59" i="9"/>
  <c r="A59" i="9"/>
  <c r="AP58" i="9"/>
  <c r="AO58" i="9"/>
  <c r="AN58" i="9"/>
  <c r="AM58" i="9"/>
  <c r="AK58" i="9"/>
  <c r="AJ58" i="9"/>
  <c r="AI58" i="9"/>
  <c r="AH58" i="9"/>
  <c r="AG58" i="9"/>
  <c r="AF58" i="9"/>
  <c r="AE58" i="9"/>
  <c r="W58" i="9"/>
  <c r="V58" i="9"/>
  <c r="T58" i="9"/>
  <c r="S58" i="9"/>
  <c r="R58" i="9"/>
  <c r="Q58" i="9"/>
  <c r="P58" i="9"/>
  <c r="O58" i="9"/>
  <c r="K58" i="9"/>
  <c r="J58" i="9"/>
  <c r="H58" i="9"/>
  <c r="G58" i="9"/>
  <c r="F58" i="9"/>
  <c r="E58" i="9"/>
  <c r="D58" i="9"/>
  <c r="C58" i="9"/>
  <c r="B58" i="9"/>
  <c r="A58" i="9"/>
  <c r="AP57" i="9"/>
  <c r="AO57" i="9"/>
  <c r="AK57" i="9"/>
  <c r="AJ57" i="9"/>
  <c r="AI57" i="9"/>
  <c r="AH57" i="9"/>
  <c r="AG57" i="9"/>
  <c r="AF57" i="9"/>
  <c r="AD57" i="9"/>
  <c r="AA57" i="9"/>
  <c r="W57" i="9"/>
  <c r="V57" i="9"/>
  <c r="T57" i="9"/>
  <c r="S57" i="9"/>
  <c r="R57" i="9"/>
  <c r="Q57" i="9"/>
  <c r="P57" i="9"/>
  <c r="O57" i="9"/>
  <c r="L57" i="9"/>
  <c r="K57" i="9"/>
  <c r="J57" i="9"/>
  <c r="H57" i="9"/>
  <c r="G57" i="9"/>
  <c r="F57" i="9"/>
  <c r="E57" i="9"/>
  <c r="D57" i="9"/>
  <c r="C57" i="9"/>
  <c r="B57" i="9"/>
  <c r="A57" i="9"/>
  <c r="AP56" i="9"/>
  <c r="AO56" i="9"/>
  <c r="AK56" i="9"/>
  <c r="AJ56" i="9"/>
  <c r="AI56" i="9"/>
  <c r="AH56" i="9"/>
  <c r="AG56" i="9"/>
  <c r="AF56" i="9"/>
  <c r="AD56" i="9"/>
  <c r="AA56" i="9"/>
  <c r="W56" i="9"/>
  <c r="V56" i="9"/>
  <c r="T56" i="9"/>
  <c r="S56" i="9"/>
  <c r="R56" i="9"/>
  <c r="Q56" i="9"/>
  <c r="P56" i="9"/>
  <c r="O56" i="9"/>
  <c r="L56" i="9"/>
  <c r="K56" i="9"/>
  <c r="J56" i="9"/>
  <c r="H56" i="9"/>
  <c r="G56" i="9"/>
  <c r="F56" i="9"/>
  <c r="E56" i="9"/>
  <c r="D56" i="9"/>
  <c r="C56" i="9"/>
  <c r="B56" i="9"/>
  <c r="A56" i="9"/>
  <c r="AP55" i="9"/>
  <c r="AO55" i="9"/>
  <c r="AK55" i="9"/>
  <c r="AJ55" i="9"/>
  <c r="AI55" i="9"/>
  <c r="AH55" i="9"/>
  <c r="AG55" i="9"/>
  <c r="AF55" i="9"/>
  <c r="AE55" i="9"/>
  <c r="AD55" i="9"/>
  <c r="AA55" i="9"/>
  <c r="W55" i="9"/>
  <c r="V55" i="9"/>
  <c r="T55" i="9"/>
  <c r="S55" i="9"/>
  <c r="R55" i="9"/>
  <c r="Q55" i="9"/>
  <c r="P55" i="9"/>
  <c r="O55" i="9"/>
  <c r="L55" i="9"/>
  <c r="K55" i="9"/>
  <c r="J55" i="9"/>
  <c r="I55" i="9"/>
  <c r="H55" i="9"/>
  <c r="G55" i="9"/>
  <c r="F55" i="9"/>
  <c r="E55" i="9"/>
  <c r="D55" i="9"/>
  <c r="C55" i="9"/>
  <c r="B55" i="9"/>
  <c r="A55" i="9"/>
  <c r="AP54" i="9"/>
  <c r="AO54" i="9"/>
  <c r="AN54" i="9"/>
  <c r="AM54" i="9"/>
  <c r="AK54" i="9"/>
  <c r="AJ54" i="9"/>
  <c r="AI54" i="9"/>
  <c r="AH54" i="9"/>
  <c r="AG54" i="9"/>
  <c r="AF54" i="9"/>
  <c r="AE54" i="9"/>
  <c r="AD54" i="9"/>
  <c r="AA54" i="9"/>
  <c r="Y54" i="9"/>
  <c r="W54" i="9"/>
  <c r="V54" i="9"/>
  <c r="T54" i="9"/>
  <c r="S54" i="9"/>
  <c r="R54" i="9"/>
  <c r="Q54" i="9"/>
  <c r="P54" i="9"/>
  <c r="O54" i="9"/>
  <c r="L54" i="9"/>
  <c r="K54" i="9"/>
  <c r="J54" i="9"/>
  <c r="H54" i="9"/>
  <c r="G54" i="9"/>
  <c r="F54" i="9"/>
  <c r="E54" i="9"/>
  <c r="D54" i="9"/>
  <c r="C54" i="9"/>
  <c r="B54" i="9"/>
  <c r="A54" i="9"/>
  <c r="AP53" i="9"/>
  <c r="AO53" i="9"/>
  <c r="AK53" i="9"/>
  <c r="AJ53" i="9"/>
  <c r="AI53" i="9"/>
  <c r="AH53" i="9"/>
  <c r="AG53" i="9"/>
  <c r="L53" i="9"/>
  <c r="K53" i="9"/>
  <c r="J53" i="9"/>
  <c r="I53" i="9"/>
  <c r="H53" i="9"/>
  <c r="G53" i="9"/>
  <c r="F53" i="9"/>
  <c r="E53" i="9"/>
  <c r="C53" i="9"/>
  <c r="B53" i="9"/>
  <c r="A53" i="9"/>
  <c r="AP52" i="9"/>
  <c r="AO52" i="9"/>
  <c r="AK52" i="9"/>
  <c r="AJ52" i="9"/>
  <c r="AI52" i="9"/>
  <c r="AH52" i="9"/>
  <c r="AG52" i="9"/>
  <c r="AF52" i="9"/>
  <c r="AE52" i="9"/>
  <c r="AD52" i="9"/>
  <c r="AA52" i="9"/>
  <c r="Z52" i="9"/>
  <c r="W52" i="9"/>
  <c r="T52" i="9"/>
  <c r="S52" i="9"/>
  <c r="R52" i="9"/>
  <c r="Q52" i="9"/>
  <c r="P52" i="9"/>
  <c r="O52" i="9"/>
  <c r="K52" i="9"/>
  <c r="J52" i="9"/>
  <c r="I52" i="9"/>
  <c r="H52" i="9"/>
  <c r="G52" i="9"/>
  <c r="F52" i="9"/>
  <c r="E52" i="9"/>
  <c r="D52" i="9"/>
  <c r="C52" i="9"/>
  <c r="B52" i="9"/>
  <c r="A52" i="9"/>
  <c r="AP51" i="9"/>
  <c r="AO51" i="9"/>
  <c r="AK51" i="9"/>
  <c r="AJ51" i="9"/>
  <c r="AI51" i="9"/>
  <c r="AH51" i="9"/>
  <c r="AG51" i="9"/>
  <c r="AF51" i="9"/>
  <c r="AE51" i="9"/>
  <c r="AD51" i="9"/>
  <c r="AA51" i="9"/>
  <c r="V51" i="9"/>
  <c r="T51" i="9"/>
  <c r="S51" i="9"/>
  <c r="R51" i="9"/>
  <c r="Q51" i="9"/>
  <c r="P51" i="9"/>
  <c r="O51" i="9"/>
  <c r="M51" i="9"/>
  <c r="L51" i="9"/>
  <c r="K51" i="9"/>
  <c r="J51" i="9"/>
  <c r="H51" i="9"/>
  <c r="G51" i="9"/>
  <c r="F51" i="9"/>
  <c r="E51" i="9"/>
  <c r="D51" i="9"/>
  <c r="C51" i="9"/>
  <c r="B51" i="9"/>
  <c r="A51" i="9"/>
  <c r="AP50" i="9"/>
  <c r="AO50" i="9"/>
  <c r="AN50" i="9"/>
  <c r="AM50" i="9"/>
  <c r="AK50" i="9"/>
  <c r="AJ50" i="9"/>
  <c r="AI50" i="9"/>
  <c r="AH50" i="9"/>
  <c r="AG50" i="9"/>
  <c r="AF50" i="9"/>
  <c r="AE50" i="9"/>
  <c r="AD50" i="9"/>
  <c r="AB50" i="9"/>
  <c r="AA50" i="9"/>
  <c r="V50" i="9"/>
  <c r="T50" i="9"/>
  <c r="S50" i="9"/>
  <c r="R50" i="9"/>
  <c r="Q50" i="9"/>
  <c r="P50" i="9"/>
  <c r="O50" i="9"/>
  <c r="M50" i="9"/>
  <c r="L50" i="9"/>
  <c r="K50" i="9"/>
  <c r="J50" i="9"/>
  <c r="H50" i="9"/>
  <c r="G50" i="9"/>
  <c r="F50" i="9"/>
  <c r="E50" i="9"/>
  <c r="D50" i="9"/>
  <c r="C50" i="9"/>
  <c r="B50" i="9"/>
  <c r="A50" i="9"/>
  <c r="AP49" i="9"/>
  <c r="AO49" i="9"/>
  <c r="AK49" i="9"/>
  <c r="AJ49" i="9"/>
  <c r="AI49" i="9"/>
  <c r="AH49" i="9"/>
  <c r="AG49" i="9"/>
  <c r="AF49" i="9"/>
  <c r="AE49" i="9"/>
  <c r="AD49" i="9"/>
  <c r="AA49" i="9"/>
  <c r="V49" i="9"/>
  <c r="T49" i="9"/>
  <c r="S49" i="9"/>
  <c r="R49" i="9"/>
  <c r="Q49" i="9"/>
  <c r="P49" i="9"/>
  <c r="O49" i="9"/>
  <c r="L49" i="9"/>
  <c r="K49" i="9"/>
  <c r="J49" i="9"/>
  <c r="H49" i="9"/>
  <c r="G49" i="9"/>
  <c r="F49" i="9"/>
  <c r="E49" i="9"/>
  <c r="D49" i="9"/>
  <c r="C49" i="9"/>
  <c r="B49" i="9"/>
  <c r="A49" i="9"/>
  <c r="AP48" i="9"/>
  <c r="AO48" i="9"/>
  <c r="AK48" i="9"/>
  <c r="AJ48" i="9"/>
  <c r="AI48" i="9"/>
  <c r="AH48" i="9"/>
  <c r="AG48" i="9"/>
  <c r="AF48" i="9"/>
  <c r="AE48" i="9"/>
  <c r="AD48" i="9"/>
  <c r="T48" i="9"/>
  <c r="S48" i="9"/>
  <c r="R48" i="9"/>
  <c r="Q48" i="9"/>
  <c r="P48" i="9"/>
  <c r="O48" i="9"/>
  <c r="K48" i="9"/>
  <c r="J48" i="9"/>
  <c r="H48" i="9"/>
  <c r="G48" i="9"/>
  <c r="F48" i="9"/>
  <c r="E48" i="9"/>
  <c r="D48" i="9"/>
  <c r="C48" i="9"/>
  <c r="B48" i="9"/>
  <c r="A48" i="9"/>
  <c r="AP47" i="9"/>
  <c r="AO47" i="9"/>
  <c r="AK47" i="9"/>
  <c r="AJ47" i="9"/>
  <c r="AI47" i="9"/>
  <c r="AH47" i="9"/>
  <c r="AG47" i="9"/>
  <c r="L47" i="9"/>
  <c r="K47" i="9"/>
  <c r="J47" i="9"/>
  <c r="H47" i="9"/>
  <c r="G47" i="9"/>
  <c r="F47" i="9"/>
  <c r="E47" i="9"/>
  <c r="C47" i="9"/>
  <c r="B47" i="9"/>
  <c r="A47" i="9"/>
  <c r="AP46" i="9"/>
  <c r="AO46" i="9"/>
  <c r="AN46" i="9"/>
  <c r="AM46" i="9"/>
  <c r="AK46" i="9"/>
  <c r="AJ46" i="9"/>
  <c r="AI46" i="9"/>
  <c r="AH46" i="9"/>
  <c r="AG46" i="9"/>
  <c r="AF46" i="9"/>
  <c r="AE46" i="9"/>
  <c r="AD46" i="9"/>
  <c r="AA46" i="9"/>
  <c r="W46" i="9"/>
  <c r="V46" i="9"/>
  <c r="T46" i="9"/>
  <c r="S46" i="9"/>
  <c r="R46" i="9"/>
  <c r="Q46" i="9"/>
  <c r="P46" i="9"/>
  <c r="O46" i="9"/>
  <c r="L46" i="9"/>
  <c r="K46" i="9"/>
  <c r="J46" i="9"/>
  <c r="H46" i="9"/>
  <c r="G46" i="9"/>
  <c r="F46" i="9"/>
  <c r="E46" i="9"/>
  <c r="D46" i="9"/>
  <c r="C46" i="9"/>
  <c r="B46" i="9"/>
  <c r="A46" i="9"/>
  <c r="AP45" i="9"/>
  <c r="AO45" i="9"/>
  <c r="AK45" i="9"/>
  <c r="AJ45" i="9"/>
  <c r="AI45" i="9"/>
  <c r="AH45" i="9"/>
  <c r="AG45" i="9"/>
  <c r="L45" i="9"/>
  <c r="K45" i="9"/>
  <c r="J45" i="9"/>
  <c r="I45" i="9"/>
  <c r="H45" i="9"/>
  <c r="G45" i="9"/>
  <c r="F45" i="9"/>
  <c r="E45" i="9"/>
  <c r="C45" i="9"/>
  <c r="B45" i="9"/>
  <c r="A45" i="9"/>
  <c r="AP44" i="9"/>
  <c r="AO44" i="9"/>
  <c r="AK44" i="9"/>
  <c r="AJ44" i="9"/>
  <c r="AI44" i="9"/>
  <c r="AH44" i="9"/>
  <c r="AG44" i="9"/>
  <c r="L44" i="9"/>
  <c r="K44" i="9"/>
  <c r="J44" i="9"/>
  <c r="I44" i="9"/>
  <c r="H44" i="9"/>
  <c r="G44" i="9"/>
  <c r="F44" i="9"/>
  <c r="E44" i="9"/>
  <c r="C44" i="9"/>
  <c r="B44" i="9"/>
  <c r="A44" i="9"/>
  <c r="AP43" i="9"/>
  <c r="AO43" i="9"/>
  <c r="AK43" i="9"/>
  <c r="AJ43" i="9"/>
  <c r="AI43" i="9"/>
  <c r="AH43" i="9"/>
  <c r="AG43" i="9"/>
  <c r="AF43" i="9"/>
  <c r="AE43" i="9"/>
  <c r="AD43" i="9"/>
  <c r="T43" i="9"/>
  <c r="S43" i="9"/>
  <c r="R43" i="9"/>
  <c r="Q43" i="9"/>
  <c r="P43" i="9"/>
  <c r="O43" i="9"/>
  <c r="N43" i="9"/>
  <c r="M43" i="9"/>
  <c r="L43" i="9"/>
  <c r="K43" i="9"/>
  <c r="J43" i="9"/>
  <c r="I43" i="9"/>
  <c r="H43" i="9"/>
  <c r="G43" i="9"/>
  <c r="F43" i="9"/>
  <c r="E43" i="9"/>
  <c r="D43" i="9"/>
  <c r="C43" i="9"/>
  <c r="B43" i="9"/>
  <c r="A43" i="9"/>
  <c r="AP42" i="9"/>
  <c r="AO42" i="9"/>
  <c r="AK42" i="9"/>
  <c r="AJ42" i="9"/>
  <c r="AI42" i="9"/>
  <c r="AH42" i="9"/>
  <c r="AG42" i="9"/>
  <c r="AF42" i="9"/>
  <c r="AE42" i="9"/>
  <c r="AD42" i="9"/>
  <c r="U42" i="9"/>
  <c r="T42" i="9"/>
  <c r="S42" i="9"/>
  <c r="R42" i="9"/>
  <c r="Q42" i="9"/>
  <c r="P42" i="9"/>
  <c r="O42" i="9"/>
  <c r="N42" i="9"/>
  <c r="K42" i="9"/>
  <c r="J42" i="9"/>
  <c r="I42" i="9"/>
  <c r="H42" i="9"/>
  <c r="G42" i="9"/>
  <c r="F42" i="9"/>
  <c r="E42" i="9"/>
  <c r="D42" i="9"/>
  <c r="C42" i="9"/>
  <c r="B42" i="9"/>
  <c r="A42" i="9"/>
  <c r="AP41" i="9"/>
  <c r="AO41" i="9"/>
  <c r="AN41" i="9"/>
  <c r="AM41" i="9"/>
  <c r="AK41" i="9"/>
  <c r="AJ41" i="9"/>
  <c r="AI41" i="9"/>
  <c r="AH41" i="9"/>
  <c r="AG41" i="9"/>
  <c r="AF41" i="9"/>
  <c r="AE41" i="9"/>
  <c r="AD41" i="9"/>
  <c r="T41" i="9"/>
  <c r="S41" i="9"/>
  <c r="R41" i="9"/>
  <c r="Q41" i="9"/>
  <c r="P41" i="9"/>
  <c r="O41" i="9"/>
  <c r="N41" i="9"/>
  <c r="M41" i="9"/>
  <c r="L41" i="9"/>
  <c r="K41" i="9"/>
  <c r="J41" i="9"/>
  <c r="I41" i="9"/>
  <c r="H41" i="9"/>
  <c r="G41" i="9"/>
  <c r="F41" i="9"/>
  <c r="E41" i="9"/>
  <c r="D41" i="9"/>
  <c r="C41" i="9"/>
  <c r="B41" i="9"/>
  <c r="A41" i="9"/>
  <c r="AP40" i="9"/>
  <c r="AO40" i="9"/>
  <c r="AN40" i="9"/>
  <c r="AM40" i="9"/>
  <c r="AK40" i="9"/>
  <c r="AJ40" i="9"/>
  <c r="AI40" i="9"/>
  <c r="AH40" i="9"/>
  <c r="AG40" i="9"/>
  <c r="AF40" i="9"/>
  <c r="AE40" i="9"/>
  <c r="AD40" i="9"/>
  <c r="U40" i="9"/>
  <c r="T40" i="9"/>
  <c r="S40" i="9"/>
  <c r="R40" i="9"/>
  <c r="Q40" i="9"/>
  <c r="P40" i="9"/>
  <c r="O40" i="9"/>
  <c r="N40" i="9"/>
  <c r="K40" i="9"/>
  <c r="J40" i="9"/>
  <c r="I40" i="9"/>
  <c r="H40" i="9"/>
  <c r="G40" i="9"/>
  <c r="F40" i="9"/>
  <c r="E40" i="9"/>
  <c r="D40" i="9"/>
  <c r="C40" i="9"/>
  <c r="B40" i="9"/>
  <c r="A40" i="9"/>
  <c r="AP39" i="9"/>
  <c r="AO39" i="9"/>
  <c r="AK39" i="9"/>
  <c r="AJ39" i="9"/>
  <c r="AI39" i="9"/>
  <c r="AH39" i="9"/>
  <c r="AG39" i="9"/>
  <c r="AF39" i="9"/>
  <c r="AE39" i="9"/>
  <c r="AD39" i="9"/>
  <c r="T39" i="9"/>
  <c r="S39" i="9"/>
  <c r="R39" i="9"/>
  <c r="Q39" i="9"/>
  <c r="P39" i="9"/>
  <c r="O39" i="9"/>
  <c r="N39" i="9"/>
  <c r="M39" i="9"/>
  <c r="L39" i="9"/>
  <c r="K39" i="9"/>
  <c r="J39" i="9"/>
  <c r="I39" i="9"/>
  <c r="H39" i="9"/>
  <c r="G39" i="9"/>
  <c r="F39" i="9"/>
  <c r="E39" i="9"/>
  <c r="D39" i="9"/>
  <c r="C39" i="9"/>
  <c r="B39" i="9"/>
  <c r="A39" i="9"/>
  <c r="AP38" i="9"/>
  <c r="AO38" i="9"/>
  <c r="AK38" i="9"/>
  <c r="AJ38" i="9"/>
  <c r="AI38" i="9"/>
  <c r="AH38" i="9"/>
  <c r="AG38" i="9"/>
  <c r="AF38" i="9"/>
  <c r="AE38" i="9"/>
  <c r="AD38" i="9"/>
  <c r="T38" i="9"/>
  <c r="S38" i="9"/>
  <c r="R38" i="9"/>
  <c r="Q38" i="9"/>
  <c r="P38" i="9"/>
  <c r="O38" i="9"/>
  <c r="N38" i="9"/>
  <c r="M38" i="9"/>
  <c r="L38" i="9"/>
  <c r="K38" i="9"/>
  <c r="J38" i="9"/>
  <c r="I38" i="9"/>
  <c r="H38" i="9"/>
  <c r="G38" i="9"/>
  <c r="F38" i="9"/>
  <c r="E38" i="9"/>
  <c r="D38" i="9"/>
  <c r="C38" i="9"/>
  <c r="B38" i="9"/>
  <c r="A38" i="9"/>
  <c r="AP37" i="9"/>
  <c r="AO37" i="9"/>
  <c r="AK37" i="9"/>
  <c r="AJ37" i="9"/>
  <c r="AI37" i="9"/>
  <c r="AH37" i="9"/>
  <c r="AG37" i="9"/>
  <c r="AF37" i="9"/>
  <c r="AE37" i="9"/>
  <c r="AD37" i="9"/>
  <c r="T37" i="9"/>
  <c r="S37" i="9"/>
  <c r="R37" i="9"/>
  <c r="Q37" i="9"/>
  <c r="P37" i="9"/>
  <c r="O37" i="9"/>
  <c r="N37" i="9"/>
  <c r="M37" i="9"/>
  <c r="L37" i="9"/>
  <c r="K37" i="9"/>
  <c r="J37" i="9"/>
  <c r="I37" i="9"/>
  <c r="H37" i="9"/>
  <c r="G37" i="9"/>
  <c r="F37" i="9"/>
  <c r="E37" i="9"/>
  <c r="D37" i="9"/>
  <c r="C37" i="9"/>
  <c r="B37" i="9"/>
  <c r="A37" i="9"/>
  <c r="AP36" i="9"/>
  <c r="AO36" i="9"/>
  <c r="AK36" i="9"/>
  <c r="AJ36" i="9"/>
  <c r="AI36" i="9"/>
  <c r="AH36" i="9"/>
  <c r="AG36" i="9"/>
  <c r="AF36" i="9"/>
  <c r="AE36" i="9"/>
  <c r="AD36" i="9"/>
  <c r="T36" i="9"/>
  <c r="S36" i="9"/>
  <c r="R36" i="9"/>
  <c r="Q36" i="9"/>
  <c r="P36" i="9"/>
  <c r="O36" i="9"/>
  <c r="N36" i="9"/>
  <c r="M36" i="9"/>
  <c r="L36" i="9"/>
  <c r="K36" i="9"/>
  <c r="J36" i="9"/>
  <c r="I36" i="9"/>
  <c r="H36" i="9"/>
  <c r="G36" i="9"/>
  <c r="F36" i="9"/>
  <c r="E36" i="9"/>
  <c r="D36" i="9"/>
  <c r="C36" i="9"/>
  <c r="B36" i="9"/>
  <c r="A36" i="9"/>
  <c r="AP35" i="9"/>
  <c r="AO35" i="9"/>
  <c r="AK35" i="9"/>
  <c r="AJ35" i="9"/>
  <c r="AI35" i="9"/>
  <c r="AH35" i="9"/>
  <c r="AG35" i="9"/>
  <c r="AF35" i="9"/>
  <c r="AE35" i="9"/>
  <c r="AD35" i="9"/>
  <c r="T35" i="9"/>
  <c r="S35" i="9"/>
  <c r="R35" i="9"/>
  <c r="Q35" i="9"/>
  <c r="P35" i="9"/>
  <c r="O35" i="9"/>
  <c r="N35" i="9"/>
  <c r="M35" i="9"/>
  <c r="L35" i="9"/>
  <c r="K35" i="9"/>
  <c r="J35" i="9"/>
  <c r="I35" i="9"/>
  <c r="H35" i="9"/>
  <c r="G35" i="9"/>
  <c r="F35" i="9"/>
  <c r="E35" i="9"/>
  <c r="D35" i="9"/>
  <c r="C35" i="9"/>
  <c r="B35" i="9"/>
  <c r="A35" i="9"/>
  <c r="AP34" i="9"/>
  <c r="AO34" i="9"/>
  <c r="AK34" i="9"/>
  <c r="AJ34" i="9"/>
  <c r="AI34" i="9"/>
  <c r="AH34" i="9"/>
  <c r="AG34" i="9"/>
  <c r="AF34" i="9"/>
  <c r="AE34" i="9"/>
  <c r="AD34" i="9"/>
  <c r="T34" i="9"/>
  <c r="S34" i="9"/>
  <c r="R34" i="9"/>
  <c r="Q34" i="9"/>
  <c r="P34" i="9"/>
  <c r="O34" i="9"/>
  <c r="N34" i="9"/>
  <c r="M34" i="9"/>
  <c r="L34" i="9"/>
  <c r="K34" i="9"/>
  <c r="J34" i="9"/>
  <c r="I34" i="9"/>
  <c r="H34" i="9"/>
  <c r="G34" i="9"/>
  <c r="F34" i="9"/>
  <c r="E34" i="9"/>
  <c r="D34" i="9"/>
  <c r="C34" i="9"/>
  <c r="B34" i="9"/>
  <c r="A34" i="9"/>
  <c r="AP33" i="9"/>
  <c r="AO33" i="9"/>
  <c r="AK33" i="9"/>
  <c r="AJ33" i="9"/>
  <c r="AI33" i="9"/>
  <c r="AH33" i="9"/>
  <c r="AG33" i="9"/>
  <c r="AF33" i="9"/>
  <c r="AE33" i="9"/>
  <c r="AD33" i="9"/>
  <c r="AA33" i="9"/>
  <c r="X33" i="9"/>
  <c r="W33" i="9"/>
  <c r="V33" i="9"/>
  <c r="T33" i="9"/>
  <c r="S33" i="9"/>
  <c r="R33" i="9"/>
  <c r="Q33" i="9"/>
  <c r="P33" i="9"/>
  <c r="O33" i="9"/>
  <c r="N33" i="9"/>
  <c r="M33" i="9"/>
  <c r="L33" i="9"/>
  <c r="K33" i="9"/>
  <c r="J33" i="9"/>
  <c r="I33" i="9"/>
  <c r="H33" i="9"/>
  <c r="G33" i="9"/>
  <c r="F33" i="9"/>
  <c r="E33" i="9"/>
  <c r="D33" i="9"/>
  <c r="C33" i="9"/>
  <c r="B33" i="9"/>
  <c r="A33" i="9"/>
  <c r="AP32" i="9"/>
  <c r="AO32" i="9"/>
  <c r="AN32" i="9"/>
  <c r="AM32" i="9"/>
  <c r="AK32" i="9"/>
  <c r="AJ32" i="9"/>
  <c r="AI32" i="9"/>
  <c r="AH32" i="9"/>
  <c r="AG32" i="9"/>
  <c r="AF32" i="9"/>
  <c r="AE32" i="9"/>
  <c r="AD32" i="9"/>
  <c r="T32" i="9"/>
  <c r="S32" i="9"/>
  <c r="Q32" i="9"/>
  <c r="P32" i="9"/>
  <c r="O32" i="9"/>
  <c r="L32" i="9"/>
  <c r="K32" i="9"/>
  <c r="J32" i="9"/>
  <c r="I32" i="9"/>
  <c r="H32" i="9"/>
  <c r="G32" i="9"/>
  <c r="F32" i="9"/>
  <c r="E32" i="9"/>
  <c r="D32" i="9"/>
  <c r="C32" i="9"/>
  <c r="B32" i="9"/>
  <c r="A32" i="9"/>
  <c r="AP31" i="9"/>
  <c r="AO31" i="9"/>
  <c r="AN31" i="9"/>
  <c r="AM31" i="9"/>
  <c r="AK31" i="9"/>
  <c r="AJ31" i="9"/>
  <c r="AI31" i="9"/>
  <c r="AH31" i="9"/>
  <c r="AG31" i="9"/>
  <c r="AF31" i="9"/>
  <c r="AE31" i="9"/>
  <c r="AD31" i="9"/>
  <c r="W31" i="9"/>
  <c r="V31" i="9"/>
  <c r="T31" i="9"/>
  <c r="S31" i="9"/>
  <c r="R31" i="9"/>
  <c r="Q31" i="9"/>
  <c r="P31" i="9"/>
  <c r="O31" i="9"/>
  <c r="L31" i="9"/>
  <c r="K31" i="9"/>
  <c r="J31" i="9"/>
  <c r="H31" i="9"/>
  <c r="G31" i="9"/>
  <c r="F31" i="9"/>
  <c r="E31" i="9"/>
  <c r="D31" i="9"/>
  <c r="C31" i="9"/>
  <c r="B31" i="9"/>
  <c r="A31" i="9"/>
  <c r="AP30" i="9"/>
  <c r="AO30" i="9"/>
  <c r="AN30" i="9"/>
  <c r="AM30" i="9"/>
  <c r="AK30" i="9"/>
  <c r="AJ30" i="9"/>
  <c r="AI30" i="9"/>
  <c r="AH30" i="9"/>
  <c r="AG30" i="9"/>
  <c r="L30" i="9"/>
  <c r="K30" i="9"/>
  <c r="H30" i="9"/>
  <c r="G30" i="9"/>
  <c r="F30" i="9"/>
  <c r="E30" i="9"/>
  <c r="C30" i="9"/>
  <c r="B30" i="9"/>
  <c r="A30" i="9"/>
  <c r="AP29" i="9"/>
  <c r="AO29" i="9"/>
  <c r="AN29" i="9"/>
  <c r="AM29" i="9"/>
  <c r="AK29" i="9"/>
  <c r="AJ29" i="9"/>
  <c r="AI29" i="9"/>
  <c r="AH29" i="9"/>
  <c r="AG29" i="9"/>
  <c r="AF29" i="9"/>
  <c r="AE29" i="9"/>
  <c r="AD29" i="9"/>
  <c r="AC29" i="9"/>
  <c r="T29" i="9"/>
  <c r="S29" i="9"/>
  <c r="N29" i="9"/>
  <c r="K29" i="9"/>
  <c r="H29" i="9"/>
  <c r="G29" i="9"/>
  <c r="F29" i="9"/>
  <c r="E29" i="9"/>
  <c r="D29" i="9"/>
  <c r="C29" i="9"/>
  <c r="B29" i="9"/>
  <c r="A29" i="9"/>
  <c r="AP28" i="9"/>
  <c r="AO28" i="9"/>
  <c r="AK28" i="9"/>
  <c r="AJ28" i="9"/>
  <c r="AI28" i="9"/>
  <c r="AH28" i="9"/>
  <c r="AG28" i="9"/>
  <c r="L28" i="9"/>
  <c r="K28" i="9"/>
  <c r="I28" i="9"/>
  <c r="H28" i="9"/>
  <c r="G28" i="9"/>
  <c r="F28" i="9"/>
  <c r="E28" i="9"/>
  <c r="C28" i="9"/>
  <c r="B28" i="9"/>
  <c r="A28" i="9"/>
  <c r="AP27" i="9"/>
  <c r="AO27" i="9"/>
  <c r="AK27" i="9"/>
  <c r="AJ27" i="9"/>
  <c r="AI27" i="9"/>
  <c r="AH27" i="9"/>
  <c r="AG27" i="9"/>
  <c r="K27" i="9"/>
  <c r="H27" i="9"/>
  <c r="G27" i="9"/>
  <c r="F27" i="9"/>
  <c r="E27" i="9"/>
  <c r="C27" i="9"/>
  <c r="B27" i="9"/>
  <c r="A27" i="9"/>
  <c r="AP26" i="9"/>
  <c r="AO26" i="9"/>
  <c r="AN26" i="9"/>
  <c r="AM26" i="9"/>
  <c r="AK26" i="9"/>
  <c r="AJ26" i="9"/>
  <c r="AI26" i="9"/>
  <c r="AH26" i="9"/>
  <c r="AG26" i="9"/>
  <c r="AF26" i="9"/>
  <c r="AE26" i="9"/>
  <c r="AD26" i="9"/>
  <c r="AA26" i="9"/>
  <c r="Y26" i="9"/>
  <c r="X26" i="9"/>
  <c r="W26" i="9"/>
  <c r="V26" i="9"/>
  <c r="T26" i="9"/>
  <c r="S26" i="9"/>
  <c r="R26" i="9"/>
  <c r="Q26" i="9"/>
  <c r="P26" i="9"/>
  <c r="O26" i="9"/>
  <c r="L26" i="9"/>
  <c r="K26" i="9"/>
  <c r="J26" i="9"/>
  <c r="H26" i="9"/>
  <c r="G26" i="9"/>
  <c r="F26" i="9"/>
  <c r="E26" i="9"/>
  <c r="D26" i="9"/>
  <c r="C26" i="9"/>
  <c r="B26" i="9"/>
  <c r="A26" i="9"/>
  <c r="AP25" i="9"/>
  <c r="AO25" i="9"/>
  <c r="AN25" i="9"/>
  <c r="AM25" i="9"/>
  <c r="AK25" i="9"/>
  <c r="AJ25" i="9"/>
  <c r="AI25" i="9"/>
  <c r="AH25" i="9"/>
  <c r="AG25" i="9"/>
  <c r="AF25" i="9"/>
  <c r="AE25" i="9"/>
  <c r="AD25" i="9"/>
  <c r="AC25" i="9"/>
  <c r="W25" i="9"/>
  <c r="V25" i="9"/>
  <c r="T25" i="9"/>
  <c r="S25" i="9"/>
  <c r="R25" i="9"/>
  <c r="Q25" i="9"/>
  <c r="P25" i="9"/>
  <c r="O25" i="9"/>
  <c r="M25" i="9"/>
  <c r="L25" i="9"/>
  <c r="K25" i="9"/>
  <c r="J25" i="9"/>
  <c r="H25" i="9"/>
  <c r="G25" i="9"/>
  <c r="F25" i="9"/>
  <c r="E25" i="9"/>
  <c r="D25" i="9"/>
  <c r="C25" i="9"/>
  <c r="B25" i="9"/>
  <c r="A25" i="9"/>
  <c r="AP24" i="9"/>
  <c r="AO24" i="9"/>
  <c r="AK24" i="9"/>
  <c r="AJ24" i="9"/>
  <c r="AI24" i="9"/>
  <c r="AH24" i="9"/>
  <c r="AG24" i="9"/>
  <c r="AF24" i="9"/>
  <c r="AE24" i="9"/>
  <c r="AD24" i="9"/>
  <c r="W24" i="9"/>
  <c r="T24" i="9"/>
  <c r="S24" i="9"/>
  <c r="R24" i="9"/>
  <c r="Q24" i="9"/>
  <c r="P24" i="9"/>
  <c r="O24" i="9"/>
  <c r="L24" i="9"/>
  <c r="K24" i="9"/>
  <c r="J24" i="9"/>
  <c r="I24" i="9"/>
  <c r="H24" i="9"/>
  <c r="G24" i="9"/>
  <c r="F24" i="9"/>
  <c r="E24" i="9"/>
  <c r="D24" i="9"/>
  <c r="C24" i="9"/>
  <c r="B24" i="9"/>
  <c r="A24" i="9"/>
  <c r="AP23" i="9"/>
  <c r="AO23" i="9"/>
  <c r="AK23" i="9"/>
  <c r="AJ23" i="9"/>
  <c r="AI23" i="9"/>
  <c r="AH23" i="9"/>
  <c r="AG23" i="9"/>
  <c r="AF23" i="9"/>
  <c r="AE23" i="9"/>
  <c r="AD23" i="9"/>
  <c r="AB23" i="9"/>
  <c r="T23" i="9"/>
  <c r="S23" i="9"/>
  <c r="R23" i="9"/>
  <c r="Q23" i="9"/>
  <c r="P23" i="9"/>
  <c r="O23" i="9"/>
  <c r="L23" i="9"/>
  <c r="K23" i="9"/>
  <c r="J23" i="9"/>
  <c r="I23" i="9"/>
  <c r="H23" i="9"/>
  <c r="G23" i="9"/>
  <c r="F23" i="9"/>
  <c r="E23" i="9"/>
  <c r="D23" i="9"/>
  <c r="C23" i="9"/>
  <c r="B23" i="9"/>
  <c r="A23" i="9"/>
  <c r="AP22" i="9"/>
  <c r="AO22" i="9"/>
  <c r="AN22" i="9"/>
  <c r="AM22" i="9"/>
  <c r="AL22" i="9"/>
  <c r="AK22" i="9"/>
  <c r="AJ22" i="9"/>
  <c r="AI22" i="9"/>
  <c r="AH22" i="9"/>
  <c r="AG22" i="9"/>
  <c r="AD22" i="9"/>
  <c r="S22" i="9"/>
  <c r="R22" i="9"/>
  <c r="Q22" i="9"/>
  <c r="P22" i="9"/>
  <c r="O22" i="9"/>
  <c r="L22" i="9"/>
  <c r="K22" i="9"/>
  <c r="J22" i="9"/>
  <c r="H22" i="9"/>
  <c r="G22" i="9"/>
  <c r="F22" i="9"/>
  <c r="E22" i="9"/>
  <c r="D22" i="9"/>
  <c r="C22" i="9"/>
  <c r="B22" i="9"/>
  <c r="A22" i="9"/>
  <c r="AP21" i="9"/>
  <c r="AO21" i="9"/>
  <c r="AN21" i="9"/>
  <c r="AM21" i="9"/>
  <c r="AK21" i="9"/>
  <c r="AJ21" i="9"/>
  <c r="AI21" i="9"/>
  <c r="AH21" i="9"/>
  <c r="AG21" i="9"/>
  <c r="AF21" i="9"/>
  <c r="AE21" i="9"/>
  <c r="AD21" i="9"/>
  <c r="W21" i="9"/>
  <c r="V21" i="9"/>
  <c r="T21" i="9"/>
  <c r="S21" i="9"/>
  <c r="R21" i="9"/>
  <c r="Q21" i="9"/>
  <c r="P21" i="9"/>
  <c r="O21" i="9"/>
  <c r="L21" i="9"/>
  <c r="K21" i="9"/>
  <c r="J21" i="9"/>
  <c r="H21" i="9"/>
  <c r="G21" i="9"/>
  <c r="F21" i="9"/>
  <c r="E21" i="9"/>
  <c r="D21" i="9"/>
  <c r="C21" i="9"/>
  <c r="B21" i="9"/>
  <c r="A21" i="9"/>
  <c r="AP20" i="9"/>
  <c r="AO20" i="9"/>
  <c r="AK20" i="9"/>
  <c r="AJ20" i="9"/>
  <c r="AI20" i="9"/>
  <c r="AH20" i="9"/>
  <c r="AG20" i="9"/>
  <c r="L20" i="9"/>
  <c r="K20" i="9"/>
  <c r="J20" i="9"/>
  <c r="G20" i="9"/>
  <c r="F20" i="9"/>
  <c r="E20" i="9"/>
  <c r="C20" i="9"/>
  <c r="B20" i="9"/>
  <c r="A20" i="9"/>
  <c r="AP19" i="9"/>
  <c r="AO19" i="9"/>
  <c r="AN19" i="9"/>
  <c r="AM19" i="9"/>
  <c r="AK19" i="9"/>
  <c r="AJ19" i="9"/>
  <c r="AI19" i="9"/>
  <c r="AH19" i="9"/>
  <c r="AG19" i="9"/>
  <c r="AF19" i="9"/>
  <c r="AE19" i="9"/>
  <c r="AD19" i="9"/>
  <c r="X19" i="9"/>
  <c r="T19" i="9"/>
  <c r="S19" i="9"/>
  <c r="R19" i="9"/>
  <c r="Q19" i="9"/>
  <c r="P19" i="9"/>
  <c r="O19" i="9"/>
  <c r="L19" i="9"/>
  <c r="K19" i="9"/>
  <c r="J19" i="9"/>
  <c r="H19" i="9"/>
  <c r="G19" i="9"/>
  <c r="F19" i="9"/>
  <c r="E19" i="9"/>
  <c r="D19" i="9"/>
  <c r="C19" i="9"/>
  <c r="B19" i="9"/>
  <c r="A19" i="9"/>
  <c r="AP18" i="9"/>
  <c r="AO18" i="9"/>
  <c r="AN18" i="9"/>
  <c r="AM18" i="9"/>
  <c r="AK18" i="9"/>
  <c r="AJ18" i="9"/>
  <c r="AI18" i="9"/>
  <c r="AH18" i="9"/>
  <c r="AG18" i="9"/>
  <c r="AF18" i="9"/>
  <c r="AE18" i="9"/>
  <c r="AD18" i="9"/>
  <c r="AA18" i="9"/>
  <c r="X18" i="9"/>
  <c r="V18" i="9"/>
  <c r="T18" i="9"/>
  <c r="S18" i="9"/>
  <c r="R18" i="9"/>
  <c r="Q18" i="9"/>
  <c r="P18" i="9"/>
  <c r="O18" i="9"/>
  <c r="L18" i="9"/>
  <c r="K18" i="9"/>
  <c r="J18" i="9"/>
  <c r="H18" i="9"/>
  <c r="G18" i="9"/>
  <c r="F18" i="9"/>
  <c r="E18" i="9"/>
  <c r="D18" i="9"/>
  <c r="C18" i="9"/>
  <c r="B18" i="9"/>
  <c r="A18" i="9"/>
  <c r="AP17" i="9"/>
  <c r="AO17" i="9"/>
  <c r="AK17" i="9"/>
  <c r="AJ17" i="9"/>
  <c r="AI17" i="9"/>
  <c r="AH17" i="9"/>
  <c r="AG17" i="9"/>
  <c r="AF17" i="9"/>
  <c r="AE17" i="9"/>
  <c r="AD17" i="9"/>
  <c r="AA17" i="9"/>
  <c r="W17" i="9"/>
  <c r="V17" i="9"/>
  <c r="T17" i="9"/>
  <c r="S17" i="9"/>
  <c r="R17" i="9"/>
  <c r="Q17" i="9"/>
  <c r="P17" i="9"/>
  <c r="O17" i="9"/>
  <c r="L17" i="9"/>
  <c r="K17" i="9"/>
  <c r="J17" i="9"/>
  <c r="H17" i="9"/>
  <c r="G17" i="9"/>
  <c r="F17" i="9"/>
  <c r="E17" i="9"/>
  <c r="D17" i="9"/>
  <c r="C17" i="9"/>
  <c r="B17" i="9"/>
  <c r="A17" i="9"/>
  <c r="AP16" i="9"/>
  <c r="AO16" i="9"/>
  <c r="AK16" i="9"/>
  <c r="AJ16" i="9"/>
  <c r="AI16" i="9"/>
  <c r="AH16" i="9"/>
  <c r="AG16" i="9"/>
  <c r="AF16" i="9"/>
  <c r="AE16" i="9"/>
  <c r="AD16" i="9"/>
  <c r="T16" i="9"/>
  <c r="S16" i="9"/>
  <c r="R16" i="9"/>
  <c r="Q16" i="9"/>
  <c r="P16" i="9"/>
  <c r="O16" i="9"/>
  <c r="K16" i="9"/>
  <c r="J16" i="9"/>
  <c r="G16" i="9"/>
  <c r="F16" i="9"/>
  <c r="E16" i="9"/>
  <c r="D16" i="9"/>
  <c r="C16" i="9"/>
  <c r="B16" i="9"/>
  <c r="A16" i="9"/>
  <c r="AP15" i="9"/>
  <c r="AO15" i="9"/>
  <c r="AK15" i="9"/>
  <c r="AJ15" i="9"/>
  <c r="AI15" i="9"/>
  <c r="AH15" i="9"/>
  <c r="AG15" i="9"/>
  <c r="AF15" i="9"/>
  <c r="AE15" i="9"/>
  <c r="AD15" i="9"/>
  <c r="W15" i="9"/>
  <c r="V15" i="9"/>
  <c r="T15" i="9"/>
  <c r="S15" i="9"/>
  <c r="R15" i="9"/>
  <c r="Q15" i="9"/>
  <c r="P15" i="9"/>
  <c r="O15" i="9"/>
  <c r="L15" i="9"/>
  <c r="K15" i="9"/>
  <c r="J15" i="9"/>
  <c r="H15" i="9"/>
  <c r="G15" i="9"/>
  <c r="F15" i="9"/>
  <c r="E15" i="9"/>
  <c r="D15" i="9"/>
  <c r="C15" i="9"/>
  <c r="B15" i="9"/>
  <c r="A15" i="9"/>
  <c r="AP14" i="9"/>
  <c r="AO14" i="9"/>
  <c r="AK14" i="9"/>
  <c r="AJ14" i="9"/>
  <c r="AI14" i="9"/>
  <c r="AH14" i="9"/>
  <c r="AG14" i="9"/>
  <c r="AF14" i="9"/>
  <c r="AE14" i="9"/>
  <c r="AD14" i="9"/>
  <c r="T14" i="9"/>
  <c r="S14" i="9"/>
  <c r="R14" i="9"/>
  <c r="Q14" i="9"/>
  <c r="P14" i="9"/>
  <c r="O14" i="9"/>
  <c r="L14" i="9"/>
  <c r="K14" i="9"/>
  <c r="J14" i="9"/>
  <c r="H14" i="9"/>
  <c r="G14" i="9"/>
  <c r="F14" i="9"/>
  <c r="E14" i="9"/>
  <c r="D14" i="9"/>
  <c r="C14" i="9"/>
  <c r="B14" i="9"/>
  <c r="A14" i="9"/>
  <c r="AP13" i="9"/>
  <c r="AO13" i="9"/>
  <c r="AN13" i="9"/>
  <c r="AM13" i="9"/>
  <c r="AK13" i="9"/>
  <c r="AJ13" i="9"/>
  <c r="AI13" i="9"/>
  <c r="AH13" i="9"/>
  <c r="AG13" i="9"/>
  <c r="AF13" i="9"/>
  <c r="AE13" i="9"/>
  <c r="AD13" i="9"/>
  <c r="AA13" i="9"/>
  <c r="W13" i="9"/>
  <c r="V13" i="9"/>
  <c r="T13" i="9"/>
  <c r="S13" i="9"/>
  <c r="R13" i="9"/>
  <c r="Q13" i="9"/>
  <c r="P13" i="9"/>
  <c r="O13" i="9"/>
  <c r="L13" i="9"/>
  <c r="K13" i="9"/>
  <c r="J13" i="9"/>
  <c r="H13" i="9"/>
  <c r="G13" i="9"/>
  <c r="F13" i="9"/>
  <c r="E13" i="9"/>
  <c r="D13" i="9"/>
  <c r="C13" i="9"/>
  <c r="B13" i="9"/>
  <c r="A13" i="9"/>
  <c r="AP12" i="9"/>
  <c r="AO12" i="9"/>
  <c r="AN12" i="9"/>
  <c r="AM12" i="9"/>
  <c r="AK12" i="9"/>
  <c r="AJ12" i="9"/>
  <c r="AI12" i="9"/>
  <c r="AH12" i="9"/>
  <c r="AG12" i="9"/>
  <c r="AF12" i="9"/>
  <c r="AE12" i="9"/>
  <c r="AD12" i="9"/>
  <c r="T12" i="9"/>
  <c r="S12" i="9"/>
  <c r="R12" i="9"/>
  <c r="Q12" i="9"/>
  <c r="P12" i="9"/>
  <c r="O12" i="9"/>
  <c r="L12" i="9"/>
  <c r="K12" i="9"/>
  <c r="J12" i="9"/>
  <c r="H12" i="9"/>
  <c r="G12" i="9"/>
  <c r="F12" i="9"/>
  <c r="E12" i="9"/>
  <c r="D12" i="9"/>
  <c r="C12" i="9"/>
  <c r="B12" i="9"/>
  <c r="A12" i="9"/>
  <c r="AP11" i="9"/>
  <c r="AO11" i="9"/>
  <c r="AK11" i="9"/>
  <c r="AJ11" i="9"/>
  <c r="AI11" i="9"/>
  <c r="AH11" i="9"/>
  <c r="AG11" i="9"/>
  <c r="AF11" i="9"/>
  <c r="AE11" i="9"/>
  <c r="AD11" i="9"/>
  <c r="AA11" i="9"/>
  <c r="W11" i="9"/>
  <c r="V11" i="9"/>
  <c r="U11" i="9"/>
  <c r="T11" i="9"/>
  <c r="S11" i="9"/>
  <c r="R11" i="9"/>
  <c r="Q11" i="9"/>
  <c r="P11" i="9"/>
  <c r="O11" i="9"/>
  <c r="K11" i="9"/>
  <c r="J11" i="9"/>
  <c r="H11" i="9"/>
  <c r="G11" i="9"/>
  <c r="F11" i="9"/>
  <c r="E11" i="9"/>
  <c r="D11" i="9"/>
  <c r="C11" i="9"/>
  <c r="B11" i="9"/>
  <c r="A11" i="9"/>
  <c r="AP10" i="9"/>
  <c r="AO10" i="9"/>
  <c r="AN10" i="9"/>
  <c r="AM10" i="9"/>
  <c r="AK10" i="9"/>
  <c r="AJ10" i="9"/>
  <c r="AI10" i="9"/>
  <c r="AH10" i="9"/>
  <c r="AG10" i="9"/>
  <c r="AF10" i="9"/>
  <c r="AE10" i="9"/>
  <c r="AD10" i="9"/>
  <c r="T10" i="9"/>
  <c r="S10" i="9"/>
  <c r="R10" i="9"/>
  <c r="Q10" i="9"/>
  <c r="P10" i="9"/>
  <c r="O10" i="9"/>
  <c r="L10" i="9"/>
  <c r="K10" i="9"/>
  <c r="J10" i="9"/>
  <c r="H10" i="9"/>
  <c r="G10" i="9"/>
  <c r="F10" i="9"/>
  <c r="E10" i="9"/>
  <c r="D10" i="9"/>
  <c r="C10" i="9"/>
  <c r="B10" i="9"/>
  <c r="A10" i="9"/>
  <c r="AP9" i="9"/>
  <c r="AO9" i="9"/>
  <c r="AN9" i="9"/>
  <c r="AM9" i="9"/>
  <c r="AK9" i="9"/>
  <c r="AJ9" i="9"/>
  <c r="AI9" i="9"/>
  <c r="AH9" i="9"/>
  <c r="AG9" i="9"/>
  <c r="AF9" i="9"/>
  <c r="AE9" i="9"/>
  <c r="AD9" i="9"/>
  <c r="AA9" i="9"/>
  <c r="X9" i="9"/>
  <c r="V9" i="9"/>
  <c r="T9" i="9"/>
  <c r="S9" i="9"/>
  <c r="R9" i="9"/>
  <c r="Q9" i="9"/>
  <c r="P9" i="9"/>
  <c r="O9" i="9"/>
  <c r="L9" i="9"/>
  <c r="K9" i="9"/>
  <c r="J9" i="9"/>
  <c r="H9" i="9"/>
  <c r="G9" i="9"/>
  <c r="F9" i="9"/>
  <c r="E9" i="9"/>
  <c r="D9" i="9"/>
  <c r="C9" i="9"/>
  <c r="B9" i="9"/>
  <c r="A9" i="9"/>
  <c r="AP8" i="9"/>
  <c r="AO8" i="9"/>
  <c r="AK8" i="9"/>
  <c r="AJ8" i="9"/>
  <c r="AI8" i="9"/>
  <c r="AH8" i="9"/>
  <c r="AG8" i="9"/>
  <c r="L8" i="9"/>
  <c r="K8" i="9"/>
  <c r="H8" i="9"/>
  <c r="G8" i="9"/>
  <c r="F8" i="9"/>
  <c r="E8" i="9"/>
  <c r="C8" i="9"/>
  <c r="B8" i="9"/>
  <c r="A8" i="9"/>
  <c r="AP7" i="9"/>
  <c r="AO7" i="9"/>
  <c r="AK7" i="9"/>
  <c r="AJ7" i="9"/>
  <c r="AI7" i="9"/>
  <c r="AH7" i="9"/>
  <c r="AG7" i="9"/>
  <c r="L7" i="9"/>
  <c r="K7" i="9"/>
  <c r="H7" i="9"/>
  <c r="G7" i="9"/>
  <c r="F7" i="9"/>
  <c r="E7" i="9"/>
  <c r="C7" i="9"/>
  <c r="B7" i="9"/>
  <c r="A7" i="9"/>
  <c r="AP6" i="9"/>
  <c r="AO6" i="9"/>
  <c r="AK6" i="9"/>
  <c r="AJ6" i="9"/>
  <c r="AI6" i="9"/>
  <c r="AH6" i="9"/>
  <c r="AG6" i="9"/>
  <c r="AF6" i="9"/>
  <c r="AE6" i="9"/>
  <c r="AD6" i="9"/>
  <c r="AA6" i="9"/>
  <c r="W6" i="9"/>
  <c r="V6" i="9"/>
  <c r="T6" i="9"/>
  <c r="S6" i="9"/>
  <c r="R6" i="9"/>
  <c r="Q6" i="9"/>
  <c r="P6" i="9"/>
  <c r="O6" i="9"/>
  <c r="N6" i="9"/>
  <c r="M6" i="9"/>
  <c r="L6" i="9"/>
  <c r="K6" i="9"/>
  <c r="J6" i="9"/>
  <c r="I6" i="9"/>
  <c r="H6" i="9"/>
  <c r="G6" i="9"/>
  <c r="F6" i="9"/>
  <c r="E6" i="9"/>
  <c r="D6" i="9"/>
  <c r="C6" i="9"/>
  <c r="B6" i="9"/>
  <c r="A6" i="9"/>
  <c r="AP5" i="9"/>
  <c r="AO5" i="9"/>
  <c r="AN5" i="9"/>
  <c r="AM5" i="9"/>
  <c r="AK5" i="9"/>
  <c r="AJ5" i="9"/>
  <c r="AI5" i="9"/>
  <c r="AH5" i="9"/>
  <c r="AG5" i="9"/>
  <c r="AF5" i="9"/>
  <c r="AE5" i="9"/>
  <c r="AD5" i="9"/>
  <c r="T5" i="9"/>
  <c r="S5" i="9"/>
  <c r="R5" i="9"/>
  <c r="Q5" i="9"/>
  <c r="P5" i="9"/>
  <c r="O5" i="9"/>
  <c r="N5" i="9"/>
  <c r="K5" i="9"/>
  <c r="J5" i="9"/>
  <c r="I5" i="9"/>
  <c r="H5" i="9"/>
  <c r="G5" i="9"/>
  <c r="F5" i="9"/>
  <c r="E5" i="9"/>
  <c r="D5" i="9"/>
  <c r="C5" i="9"/>
  <c r="B5" i="9"/>
  <c r="A5" i="9"/>
  <c r="AP4" i="9"/>
  <c r="AO4" i="9"/>
  <c r="AK4" i="9"/>
  <c r="AJ4" i="9"/>
  <c r="AI4" i="9"/>
  <c r="AH4" i="9"/>
  <c r="AG4" i="9"/>
  <c r="AF4" i="9"/>
  <c r="AD4" i="9"/>
  <c r="AA4" i="9"/>
  <c r="W4" i="9"/>
  <c r="V4" i="9"/>
  <c r="L4" i="9"/>
  <c r="K4" i="9"/>
  <c r="J4" i="9"/>
  <c r="I4" i="9"/>
  <c r="H4" i="9"/>
  <c r="G4" i="9"/>
  <c r="F4" i="9"/>
  <c r="E4" i="9"/>
  <c r="D4" i="9"/>
  <c r="C4" i="9"/>
  <c r="B4" i="9"/>
  <c r="A4" i="9"/>
  <c r="AP3" i="9"/>
  <c r="AO3" i="9"/>
  <c r="AK3" i="9"/>
  <c r="AJ3" i="9"/>
  <c r="AI3" i="9"/>
  <c r="AH3" i="9"/>
  <c r="AG3" i="9"/>
  <c r="AF3" i="9"/>
  <c r="AE3" i="9"/>
  <c r="AD3" i="9"/>
  <c r="AA3" i="9"/>
  <c r="W3" i="9"/>
  <c r="V3" i="9"/>
  <c r="T3" i="9"/>
  <c r="S3" i="9"/>
  <c r="R3" i="9"/>
  <c r="Q3" i="9"/>
  <c r="P3" i="9"/>
  <c r="O3" i="9"/>
  <c r="N3" i="9"/>
  <c r="L3" i="9"/>
  <c r="K3" i="9"/>
  <c r="J3" i="9"/>
  <c r="H3" i="9"/>
  <c r="G3" i="9"/>
  <c r="F3" i="9"/>
  <c r="E3" i="9"/>
  <c r="D3" i="9"/>
  <c r="C3" i="9"/>
  <c r="B3" i="9"/>
  <c r="A3" i="9"/>
  <c r="AP2" i="9"/>
  <c r="AO2" i="9"/>
  <c r="AK2" i="9"/>
  <c r="AJ2" i="9"/>
  <c r="AI2" i="9"/>
  <c r="AH2" i="9"/>
  <c r="AG2" i="9"/>
  <c r="AF2" i="9"/>
  <c r="AE2" i="9"/>
  <c r="AD2" i="9"/>
  <c r="T2" i="9"/>
  <c r="S2" i="9"/>
  <c r="R2" i="9"/>
  <c r="Q2" i="9"/>
  <c r="P2" i="9"/>
  <c r="O2" i="9"/>
  <c r="L2" i="9"/>
  <c r="K2" i="9"/>
  <c r="J2" i="9"/>
  <c r="H2" i="9"/>
  <c r="G2" i="9"/>
  <c r="F2" i="9"/>
  <c r="E2" i="9"/>
  <c r="D2" i="9"/>
  <c r="C2" i="9"/>
  <c r="B2" i="9"/>
  <c r="A2"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tc={B65486AE-17B8-423D-9A86-3DDBA7B9C122}</author>
  </authors>
  <commentList>
    <comment ref="B2" authorId="0" shapeId="0" xr:uid="{B65486AE-17B8-423D-9A86-3DDBA7B9C122}">
      <text>
        <t>[Threaded comment]
Your version of Excel allows you to read this threaded comment; however, any edits to it will get removed if the file is opened in a newer version of Excel. Learn more: https://go.microsoft.com/fwlink/?linkid=870924
Comment:
    Changed from 6/5 to 6/7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O10" authorId="0" shapeId="0" xr:uid="{00000000-0006-0000-0100-000009000000}">
      <text>
        <r>
          <rPr>
            <sz val="10"/>
            <color rgb="FF000000"/>
            <rFont val="Arial"/>
          </rPr>
          <t>R added from review
	-Nathanael Swecker</t>
        </r>
      </text>
    </comment>
    <comment ref="D15" authorId="0" shapeId="0" xr:uid="{00000000-0006-0000-0100-000001000000}">
      <text>
        <r>
          <rPr>
            <sz val="10"/>
            <color rgb="FF000000"/>
            <rFont val="Arial"/>
          </rPr>
          <t>Changed from 125 to 135. Error found in Step 2.3. Transcription error.
	-Nathanael Swecker</t>
        </r>
      </text>
    </comment>
    <comment ref="K16" authorId="0" shapeId="0" xr:uid="{00000000-0006-0000-0100-000010000000}">
      <text>
        <r>
          <rPr>
            <sz val="10"/>
            <color rgb="FF000000"/>
            <rFont val="Arial"/>
          </rPr>
          <t>Left blank. Added in as 'U'
	-Nathanael Swecker</t>
        </r>
      </text>
    </comment>
    <comment ref="AO17" authorId="0" shapeId="0" xr:uid="{00000000-0006-0000-0100-000008000000}">
      <text>
        <r>
          <rPr>
            <sz val="10"/>
            <color rgb="FF000000"/>
            <rFont val="Arial"/>
          </rPr>
          <t>R added from review
	-Nathanael Swecker</t>
        </r>
      </text>
    </comment>
    <comment ref="W18" authorId="0" shapeId="0" xr:uid="{00000000-0006-0000-0100-00000E000000}">
      <text>
        <r>
          <rPr>
            <sz val="10"/>
            <color rgb="FF000000"/>
            <rFont val="Arial"/>
          </rPr>
          <t>'N' entered on data sheet. Unknown meaning.
	-Nathanael Swecker</t>
        </r>
      </text>
    </comment>
    <comment ref="AA19" authorId="0" shapeId="0" xr:uid="{00000000-0006-0000-0100-00000D000000}">
      <text>
        <r>
          <rPr>
            <sz val="10"/>
            <color rgb="FF000000"/>
            <rFont val="Arial"/>
          </rPr>
          <t>'F?' written on data sheet. Not sure how to enter this in.
	-Nathanael Swecker</t>
        </r>
      </text>
    </comment>
    <comment ref="F23" authorId="0" shapeId="0" xr:uid="{00000000-0006-0000-0100-00000F000000}">
      <text>
        <r>
          <rPr>
            <sz val="10"/>
            <color rgb="FF000000"/>
            <rFont val="Arial"/>
          </rPr>
          <t>Changed from DEJU to ORJU
	-Nathanael Swecker</t>
        </r>
      </text>
    </comment>
    <comment ref="J26" authorId="0" shapeId="0" xr:uid="{00000000-0006-0000-0100-00000C000000}">
      <text>
        <r>
          <rPr>
            <sz val="10"/>
            <color rgb="FF000000"/>
            <rFont val="Arial"/>
          </rPr>
          <t>This WRP code needs reviewed
	-Nathanael Swecker</t>
        </r>
      </text>
    </comment>
    <comment ref="C29" authorId="0" shapeId="0" xr:uid="{00000000-0006-0000-0100-000004000000}">
      <text>
        <r>
          <rPr>
            <sz val="10"/>
            <color rgb="FF000000"/>
            <rFont val="Arial"/>
          </rPr>
          <t>Blank on sheet, changed to N, then changed to R from reviewing band numbers
	-Nathanael Swecker</t>
        </r>
      </text>
    </comment>
    <comment ref="AO29" authorId="0" shapeId="0" xr:uid="{00000000-0006-0000-0100-000005000000}">
      <text>
        <r>
          <rPr>
            <sz val="10"/>
            <color rgb="FF000000"/>
            <rFont val="Arial"/>
          </rPr>
          <t>0A from review band sequence
	-Nathanael Swecker
Changed to R from band number reviews
	-Nathanael Swecker</t>
        </r>
      </text>
    </comment>
    <comment ref="C31" authorId="0" shapeId="0" xr:uid="{00000000-0006-0000-0100-00000B000000}">
      <text>
        <r>
          <rPr>
            <sz val="10"/>
            <color rgb="FF000000"/>
            <rFont val="Arial"/>
          </rPr>
          <t>R or N?
	-Nathanael Swecker
N from review
	-Nathanael Swecker</t>
        </r>
      </text>
    </comment>
    <comment ref="AO31" authorId="0" shapeId="0" xr:uid="{00000000-0006-0000-0100-00000A000000}">
      <text>
        <r>
          <rPr>
            <sz val="10"/>
            <color rgb="FF000000"/>
            <rFont val="Arial"/>
          </rPr>
          <t>Not sure
	-Nathanael Swecker
0 from review
	-Nathanael Swecker</t>
        </r>
      </text>
    </comment>
    <comment ref="C32" authorId="0" shapeId="0" xr:uid="{00000000-0006-0000-0100-000003000000}">
      <text>
        <r>
          <rPr>
            <sz val="10"/>
            <color rgb="FF000000"/>
            <rFont val="Arial"/>
          </rPr>
          <t>Left blank, after review presumed R
	-Nathanael Swecker</t>
        </r>
      </text>
    </comment>
    <comment ref="AO32" authorId="0" shapeId="0" xr:uid="{00000000-0006-0000-0100-000002000000}">
      <text>
        <r>
          <rPr>
            <sz val="10"/>
            <color rgb="FF000000"/>
            <rFont val="Arial"/>
          </rPr>
          <t>Left blank. After review presumed R
	-Nathanael Swecker</t>
        </r>
      </text>
    </comment>
    <comment ref="AO37" authorId="0" shapeId="0" xr:uid="{00000000-0006-0000-0100-000006000000}">
      <text>
        <r>
          <rPr>
            <sz val="10"/>
            <color rgb="FF000000"/>
            <rFont val="Arial"/>
          </rPr>
          <t>R from review
	-Nathanael Swecker</t>
        </r>
      </text>
    </comment>
    <comment ref="AO38" authorId="0" shapeId="0" xr:uid="{00000000-0006-0000-0100-000007000000}">
      <text>
        <r>
          <rPr>
            <sz val="10"/>
            <color rgb="FF000000"/>
            <rFont val="Arial"/>
          </rPr>
          <t>R from review
	-Nathanael Swecker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tc={BC294CB4-5EA6-4041-89E1-E7AB9A4111F4}</author>
  </authors>
  <commentList>
    <comment ref="AO4" authorId="0" shapeId="0" xr:uid="{00000000-0006-0000-0200-000003000000}">
      <text>
        <r>
          <rPr>
            <sz val="10"/>
            <color rgb="FF000000"/>
            <rFont val="Arial"/>
          </rPr>
          <t>R added from review
	-Nathanael Swecker</t>
        </r>
      </text>
    </comment>
    <comment ref="AO8" authorId="0" shapeId="0" xr:uid="{00000000-0006-0000-0200-000002000000}">
      <text>
        <r>
          <rPr>
            <sz val="10"/>
            <color rgb="FF000000"/>
            <rFont val="Arial"/>
          </rPr>
          <t>R from review
	-Nathanael Swecker</t>
        </r>
      </text>
    </comment>
    <comment ref="R14" authorId="0" shapeId="0" xr:uid="{00000000-0006-0000-0200-000004000000}">
      <text>
        <r>
          <rPr>
            <sz val="10"/>
            <color rgb="FF000000"/>
            <rFont val="Arial"/>
          </rPr>
          <t>Data sheet incorrectly used N for Body molt and 0 for FF molt. Changed to be correct.
	-Nathanael Swecker</t>
        </r>
      </text>
    </comment>
    <comment ref="AO18" authorId="0" shapeId="0" xr:uid="{00000000-0006-0000-0200-000001000000}">
      <text>
        <r>
          <rPr>
            <sz val="10"/>
            <color rgb="FF000000"/>
            <rFont val="Arial"/>
          </rPr>
          <t>Changed from 1 to 0 from review and sequence of numbers.
	-Nathanael Swecker</t>
        </r>
      </text>
    </comment>
    <comment ref="AI35" authorId="1" shapeId="0" xr:uid="{BC294CB4-5EA6-4041-89E1-E7AB9A4111F4}">
      <text>
        <t>[Threaded comment]
Your version of Excel allows you to read this threaded comment; however, any edits to it will get removed if the file is opened in a newer version of Excel. Learn more: https://go.microsoft.com/fwlink/?linkid=870924
Comment:
    Changed from 130 to 1130 step 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300-000001000000}">
      <text>
        <r>
          <rPr>
            <sz val="10"/>
            <color rgb="FF000000"/>
            <rFont val="Arial"/>
          </rPr>
          <t>Changed from 136 to 135. Error caught in step 2.3. Transcription error
	-Nathanael Swecker</t>
        </r>
      </text>
    </comment>
    <comment ref="H16" authorId="0" shapeId="0" xr:uid="{00000000-0006-0000-0300-00000C000000}">
      <text>
        <r>
          <rPr>
            <sz val="10"/>
            <color rgb="FF000000"/>
            <rFont val="Arial"/>
          </rPr>
          <t>No aging criteria written on data sheet for the all birds on this data sheet.
	-Nathanael Swecker</t>
        </r>
      </text>
    </comment>
    <comment ref="R16" authorId="0" shapeId="0" xr:uid="{00000000-0006-0000-0300-00000B000000}">
      <text>
        <r>
          <rPr>
            <sz val="10"/>
            <color rgb="FF000000"/>
            <rFont val="Arial"/>
          </rPr>
          <t>Changed from 'N' to 0
	-Nathanael Swecker</t>
        </r>
      </text>
    </comment>
    <comment ref="AF16" authorId="0" shapeId="0" xr:uid="{00000000-0006-0000-0300-000009000000}">
      <text>
        <r>
          <rPr>
            <sz val="10"/>
            <color rgb="FF000000"/>
            <rFont val="Arial"/>
          </rPr>
          <t>No status was written on this data sheet for any bird.
	-Nathanael Swecker</t>
        </r>
      </text>
    </comment>
    <comment ref="S18" authorId="0" shapeId="0" xr:uid="{00000000-0006-0000-0300-00000A000000}">
      <text>
        <r>
          <rPr>
            <sz val="10"/>
            <color rgb="FF000000"/>
            <rFont val="Arial"/>
          </rPr>
          <t>Changed from 0 to N
	-Nathanael Swecker</t>
        </r>
      </text>
    </comment>
    <comment ref="AO19" authorId="0" shapeId="0" xr:uid="{00000000-0006-0000-0300-000008000000}">
      <text>
        <r>
          <rPr>
            <sz val="10"/>
            <color rgb="FF000000"/>
            <rFont val="Arial"/>
          </rPr>
          <t>No band size. Need to find out.
	-Nathanael Swecker
Band size 1B from Review.
	-Nathanael Swecker</t>
        </r>
      </text>
    </comment>
    <comment ref="T38" authorId="0" shapeId="0" xr:uid="{00000000-0006-0000-0300-000005000000}">
      <text>
        <r>
          <rPr>
            <sz val="10"/>
            <color rgb="FF000000"/>
            <rFont val="Arial"/>
          </rPr>
          <t>Changed from N to 0
	-Nathanael Swecker</t>
        </r>
      </text>
    </comment>
    <comment ref="AF39" authorId="0" shapeId="0" xr:uid="{00000000-0006-0000-0300-000003000000}">
      <text>
        <r>
          <rPr>
            <sz val="10"/>
            <color rgb="FF000000"/>
            <rFont val="Arial"/>
          </rPr>
          <t>Assumed 300. Many fields missing
	-Nathanael Swecker</t>
        </r>
      </text>
    </comment>
    <comment ref="AO40" authorId="0" shapeId="0" xr:uid="{00000000-0006-0000-0300-000002000000}">
      <text>
        <r>
          <rPr>
            <sz val="10"/>
            <color rgb="FF000000"/>
            <rFont val="Arial"/>
          </rPr>
          <t>Missing information
	-Nathanael Swecker
1A from review of banding sequence.
	-Nathanael Swecker</t>
        </r>
      </text>
    </comment>
    <comment ref="G43" authorId="0" shapeId="0" xr:uid="{00000000-0006-0000-0300-000007000000}">
      <text>
        <r>
          <rPr>
            <sz val="10"/>
            <color rgb="FF000000"/>
            <rFont val="Arial"/>
          </rPr>
          <t>No age given
	-Nathanael Swecker
Deciding on 1
	-Nathanael Swecker</t>
        </r>
      </text>
    </comment>
    <comment ref="J43" authorId="0" shapeId="0" xr:uid="{00000000-0006-0000-0300-000006000000}">
      <text>
        <r>
          <rPr>
            <sz val="10"/>
            <color rgb="FF000000"/>
            <rFont val="Arial"/>
          </rPr>
          <t>No molt categories filled in. But notes found.
	-Nathanael Swecker</t>
        </r>
      </text>
    </comment>
    <comment ref="Q43" authorId="0" shapeId="0" xr:uid="{00000000-0006-0000-0300-000004000000}">
      <text>
        <r>
          <rPr>
            <sz val="10"/>
            <color rgb="FF000000"/>
            <rFont val="Arial"/>
          </rPr>
          <t>Changed from 'T' of trace to 1
	-Nathanael Swecker</t>
        </r>
      </text>
    </comment>
    <comment ref="F46" authorId="0" shapeId="0" xr:uid="{00000000-0006-0000-0300-00000D000000}">
      <text>
        <r>
          <rPr>
            <sz val="10"/>
            <color rgb="FF000000"/>
            <rFont val="Arial"/>
          </rPr>
          <t>Changed from DEJU to ORJU
	-Nathanael Swecker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0"/>
            <color rgb="FF000000"/>
            <rFont val="Arial"/>
          </rPr>
          <t>Changed from 28819 to 28119. Error found in Step 2.3
	-Nathanael Swecker</t>
        </r>
      </text>
    </comment>
    <comment ref="AI20" authorId="0" shapeId="0" xr:uid="{00000000-0006-0000-0400-000009000000}">
      <text>
        <r>
          <rPr>
            <sz val="10"/>
            <color rgb="FF000000"/>
            <rFont val="Arial"/>
          </rPr>
          <t xml:space="preserve">No data written on data sheet
	-Nathanael Swecker
Changed to 6 in step 4 from band sequencing.
</t>
        </r>
      </text>
    </comment>
    <comment ref="AO20" authorId="0" shapeId="0" xr:uid="{00000000-0006-0000-0400-000008000000}">
      <text>
        <r>
          <rPr>
            <sz val="10"/>
            <color rgb="FF000000"/>
            <rFont val="Arial"/>
          </rPr>
          <t>No values written in data sheet
	-Nathanael Swecker
0A from band sequence review
	-Nathanael Swecker</t>
        </r>
      </text>
    </comment>
    <comment ref="AN21" authorId="0" shapeId="0" xr:uid="{00000000-0006-0000-0400-000007000000}">
      <text>
        <r>
          <rPr>
            <sz val="10"/>
            <color rgb="FF000000"/>
            <rFont val="Arial"/>
          </rPr>
          <t>longer or shorter than ppcovs?
	-Nathanael Swecker</t>
        </r>
      </text>
    </comment>
    <comment ref="AM35" authorId="0" shapeId="0" xr:uid="{00000000-0006-0000-0400-000006000000}">
      <text>
        <r>
          <rPr>
            <sz val="10"/>
            <color rgb="FF000000"/>
            <rFont val="Arial"/>
          </rPr>
          <t>Not written in, but added on data sheet after checking details of notes
	-Nathanael Swecker</t>
        </r>
      </text>
    </comment>
    <comment ref="T36" authorId="0" shapeId="0" xr:uid="{00000000-0006-0000-0400-000005000000}">
      <text>
        <r>
          <rPr>
            <sz val="10"/>
            <color rgb="FF000000"/>
            <rFont val="Arial"/>
          </rPr>
          <t>Written in as 'N'. unsure of what this means.
	-Nathanael Swecker</t>
        </r>
      </text>
    </comment>
    <comment ref="AN37" authorId="0" shapeId="0" xr:uid="{00000000-0006-0000-0400-000003000000}">
      <text>
        <r>
          <rPr>
            <sz val="10"/>
            <color rgb="FF000000"/>
            <rFont val="Arial"/>
          </rPr>
          <t>Longer or shorten than pcovs?
	-Nathanael Swecker</t>
        </r>
      </text>
    </comment>
    <comment ref="AO38" authorId="0" shapeId="0" xr:uid="{00000000-0006-0000-0400-000002000000}">
      <text>
        <r>
          <rPr>
            <sz val="10"/>
            <color rgb="FF000000"/>
            <rFont val="Arial"/>
          </rPr>
          <t>Changed from 0A to 0 from band sequence review
	-Nathanael Swecker</t>
        </r>
      </text>
    </comment>
    <comment ref="AO39" authorId="0" shapeId="0" xr:uid="{00000000-0006-0000-0400-000004000000}">
      <text>
        <r>
          <rPr>
            <sz val="10"/>
            <color rgb="FF000000"/>
            <rFont val="Arial"/>
          </rPr>
          <t>No band size written in. Need to resolve.
	-Nathanael Swecker
0A from band sequence review
	-Nathanael Swecker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O2" authorId="0" shapeId="0" xr:uid="{00000000-0006-0000-0500-000003000000}">
      <text>
        <r>
          <rPr>
            <sz val="10"/>
            <color rgb="FF000000"/>
            <rFont val="Arial"/>
          </rPr>
          <t>Changed from band size 1 to 1B from review.
	-Nathanael Swecker</t>
        </r>
      </text>
    </comment>
    <comment ref="AO11" authorId="0" shapeId="0" xr:uid="{00000000-0006-0000-0500-000009000000}">
      <text>
        <r>
          <rPr>
            <sz val="10"/>
            <color rgb="FF000000"/>
            <rFont val="Arial"/>
          </rPr>
          <t>No band number written
	-Nathanael Swecker
0 from review of band sequence
	-Nathanael Swecker</t>
        </r>
      </text>
    </comment>
    <comment ref="AO13" authorId="0" shapeId="0" xr:uid="{00000000-0006-0000-0500-000001000000}">
      <text>
        <r>
          <rPr>
            <sz val="10"/>
            <color rgb="FF000000"/>
            <rFont val="Arial"/>
          </rPr>
          <t>Changed from 1 to 0 from review of band sequence
	-Nathanael Swecker</t>
        </r>
      </text>
    </comment>
    <comment ref="AN14" authorId="0" shapeId="0" xr:uid="{00000000-0006-0000-0500-000007000000}">
      <text>
        <r>
          <rPr>
            <sz val="10"/>
            <color rgb="FF000000"/>
            <rFont val="Arial"/>
          </rPr>
          <t>longer or shorter than pcovs?
	-Nathanael Swecker</t>
        </r>
      </text>
    </comment>
    <comment ref="AO15" authorId="0" shapeId="0" xr:uid="{00000000-0006-0000-0500-000002000000}">
      <text>
        <r>
          <rPr>
            <sz val="10"/>
            <color rgb="FF000000"/>
            <rFont val="Arial"/>
          </rPr>
          <t>Changed to R from review. This is a recap
	-Nathanael Swecker</t>
        </r>
      </text>
    </comment>
    <comment ref="H17" authorId="0" shapeId="0" xr:uid="{00000000-0006-0000-0500-000008000000}">
      <text>
        <r>
          <rPr>
            <sz val="10"/>
            <color rgb="FF000000"/>
            <rFont val="Arial"/>
          </rPr>
          <t>No reason written down.
	-Nathanael Swecker</t>
        </r>
      </text>
    </comment>
    <comment ref="AN17" authorId="0" shapeId="0" xr:uid="{00000000-0006-0000-0500-000006000000}">
      <text>
        <r>
          <rPr>
            <sz val="10"/>
            <color rgb="FF000000"/>
            <rFont val="Arial"/>
          </rPr>
          <t>Longer or shorter than pcovs?
	-Nathanael Swecker</t>
        </r>
      </text>
    </comment>
    <comment ref="K35" authorId="0" shapeId="0" xr:uid="{00000000-0006-0000-0500-000005000000}">
      <text>
        <r>
          <rPr>
            <sz val="10"/>
            <color rgb="FF000000"/>
            <rFont val="Arial"/>
          </rPr>
          <t>No sex written on data sheet
	-Nathanael Swecker</t>
        </r>
      </text>
    </comment>
    <comment ref="L38" authorId="0" shapeId="0" xr:uid="{00000000-0006-0000-0500-000004000000}">
      <text>
        <r>
          <rPr>
            <sz val="10"/>
            <color rgb="FF000000"/>
            <rFont val="Arial"/>
          </rPr>
          <t>No sex indicators written on data sheet
	-Nathanael Swecker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600-000008000000}">
      <text>
        <r>
          <rPr>
            <sz val="10"/>
            <color rgb="FF000000"/>
            <rFont val="Arial"/>
          </rPr>
          <t>This band wasn't recorded because of escape. Is it R or U?
	-Nathanael Swecker</t>
        </r>
      </text>
    </comment>
    <comment ref="AF17" authorId="0" shapeId="0" xr:uid="{00000000-0006-0000-0600-000009000000}">
      <text>
        <r>
          <rPr>
            <sz val="10"/>
            <color rgb="FF000000"/>
            <rFont val="Arial"/>
          </rPr>
          <t>Looks like a banded bird that wasn't fully caught. Is this 300?
	-Nathanael Swecker</t>
        </r>
      </text>
    </comment>
    <comment ref="AM18" authorId="0" shapeId="0" xr:uid="{00000000-0006-0000-0600-000007000000}">
      <text>
        <r>
          <rPr>
            <sz val="10"/>
            <color rgb="FF000000"/>
            <rFont val="Arial"/>
          </rPr>
          <t>No actual note written anywhere.
	-Nathanael Swecker</t>
        </r>
      </text>
    </comment>
    <comment ref="AN19" authorId="0" shapeId="0" xr:uid="{00000000-0006-0000-0600-000006000000}">
      <text>
        <r>
          <rPr>
            <sz val="10"/>
            <color rgb="FF000000"/>
            <rFont val="Arial"/>
          </rPr>
          <t>Changed P to R
	-Nathanael Swecker</t>
        </r>
      </text>
    </comment>
    <comment ref="AO19" authorId="0" shapeId="0" xr:uid="{00000000-0006-0000-0600-000004000000}">
      <text>
        <r>
          <rPr>
            <sz val="10"/>
            <color rgb="FF000000"/>
            <rFont val="Arial"/>
          </rPr>
          <t>Changed from band size 1 to 2 after review.
	-Nathanael Swecker</t>
        </r>
      </text>
    </comment>
    <comment ref="AO32" authorId="0" shapeId="0" xr:uid="{00000000-0006-0000-0600-000005000000}">
      <text>
        <r>
          <rPr>
            <sz val="10"/>
            <color rgb="FF000000"/>
            <rFont val="Arial"/>
          </rPr>
          <t>No band size for most of these birds...
	-Nathanael Swecker
Band size 1B from review
	-Nathanael Swecker</t>
        </r>
      </text>
    </comment>
    <comment ref="AO33" authorId="0" shapeId="0" xr:uid="{00000000-0006-0000-0600-000002000000}">
      <text>
        <r>
          <rPr>
            <sz val="10"/>
            <color rgb="FF000000"/>
            <rFont val="Arial"/>
          </rPr>
          <t>1 added from review
	-Nathanael Swecker</t>
        </r>
      </text>
    </comment>
    <comment ref="AO35" authorId="0" shapeId="0" xr:uid="{00000000-0006-0000-0600-000001000000}">
      <text>
        <r>
          <rPr>
            <sz val="10"/>
            <color rgb="FF000000"/>
            <rFont val="Arial"/>
          </rPr>
          <t>0 from review of band sequence
	-Nathanael Swecker</t>
        </r>
      </text>
    </comment>
    <comment ref="AO37" authorId="0" shapeId="0" xr:uid="{00000000-0006-0000-0600-000003000000}">
      <text>
        <r>
          <rPr>
            <sz val="10"/>
            <color rgb="FF000000"/>
            <rFont val="Arial"/>
          </rPr>
          <t>Band size 1B from review
	-Nathanael Swecker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M10" authorId="0" shapeId="0" xr:uid="{00000000-0006-0000-0700-000007000000}">
      <text>
        <r>
          <rPr>
            <sz val="10"/>
            <color rgb="FF000000"/>
            <rFont val="Arial"/>
          </rPr>
          <t>No note 1
	-Nathanael Swecker</t>
        </r>
      </text>
    </comment>
    <comment ref="AO15" authorId="0" shapeId="0" xr:uid="{00000000-0006-0000-0700-000008000000}">
      <text>
        <r>
          <rPr>
            <sz val="10"/>
            <color rgb="FF000000"/>
            <rFont val="Arial"/>
          </rPr>
          <t>No band size indicated
	-Nathanael Swecker
0 from review of band sequence
	-Nathanael Swecker</t>
        </r>
      </text>
    </comment>
    <comment ref="AO23" authorId="0" shapeId="0" xr:uid="{00000000-0006-0000-0700-000003000000}">
      <text>
        <r>
          <rPr>
            <sz val="10"/>
            <color rgb="FF000000"/>
            <rFont val="Arial"/>
          </rPr>
          <t>Changed from 2 to R after review of band sequence and Code conflict
	-Nathanael Swecker</t>
        </r>
      </text>
    </comment>
    <comment ref="AO25" authorId="0" shapeId="0" xr:uid="{00000000-0006-0000-0700-000004000000}">
      <text>
        <r>
          <rPr>
            <sz val="10"/>
            <color rgb="FF000000"/>
            <rFont val="Arial"/>
          </rPr>
          <t>0 from band number sequence review
	-Nathanael Swecker</t>
        </r>
      </text>
    </comment>
    <comment ref="AO26" authorId="0" shapeId="0" xr:uid="{00000000-0006-0000-0700-000005000000}">
      <text>
        <r>
          <rPr>
            <sz val="10"/>
            <color rgb="FF000000"/>
            <rFont val="Arial"/>
          </rPr>
          <t>Changed from 1B to R from review.
	-Nathanael Swecker</t>
        </r>
      </text>
    </comment>
    <comment ref="AO27" authorId="0" shapeId="0" xr:uid="{00000000-0006-0000-0700-000002000000}">
      <text>
        <r>
          <rPr>
            <sz val="10"/>
            <color rgb="FF000000"/>
            <rFont val="Arial"/>
          </rPr>
          <t>Changed from 1B to R after reviewing band sequence. Assume this must be a SOSP from microaging study
	-Nathanael Swecker</t>
        </r>
      </text>
    </comment>
    <comment ref="AO28" authorId="0" shapeId="0" xr:uid="{00000000-0006-0000-0700-000001000000}">
      <text>
        <r>
          <rPr>
            <sz val="10"/>
            <color rgb="FF000000"/>
            <rFont val="Arial"/>
          </rPr>
          <t>Changed to R from review. Conflict with Code
	-Nathanael Swecker</t>
        </r>
      </text>
    </comment>
    <comment ref="AO30" authorId="0" shapeId="0" xr:uid="{00000000-0006-0000-0700-000006000000}">
      <text>
        <r>
          <rPr>
            <sz val="10"/>
            <color rgb="FF000000"/>
            <rFont val="Arial"/>
          </rPr>
          <t>Both assumed to be 1B, but not written on data sheet
	-Nathanael Swecker</t>
        </r>
      </text>
    </comment>
  </commentList>
</comments>
</file>

<file path=xl/sharedStrings.xml><?xml version="1.0" encoding="utf-8"?>
<sst xmlns="http://schemas.openxmlformats.org/spreadsheetml/2006/main" count="7400" uniqueCount="359">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</sst>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0"/>
      <color rgb="FF000000"/>
      <name val="Arial"/>
    </font>
    <font>
      <sz val="10"/>
      <color theme="1"/>
      <name val="Arial"/>
    </font>
    <font>
      <b/>
      <sz val="10"/>
      <color theme="1"/>
      <name val="Arial"/>
    </font>
    <font>
      <i/>
      <sz val="10"/>
      <color theme="1"/>
      <name val="Arial"/>
    </font>
    <font>
      <sz val="10"/>
      <name val="Verdana"/>
    </font>
    <font>
      <sz val="10"/>
      <name val="Arimo"/>
    </font>
    <font>
      <sz val="10"/>
      <name val="Arial"/>
    </font>
    <font>
      <sz val="10"/>
      <name val="Arial"/>
    </font>
    <font>
      <sz val="10"/>
      <color theme="1"/>
      <name val="Verdana"/>
    </font>
    <font>
      <sz val="10"/>
      <color theme="1"/>
      <name val="Arimo"/>
    </font>
    <font>
      <sz val="9"/>
      <color indexed="81"/>
      <name val="Tahoma"/>
      <charset val="1"/>
    </font>
  </fonts>
  <fills count="3">
    <fill>
      <patternFill patternType="none"/>
    </fill>
    <fill>
      <patternFill patternType="gray125"/>
    </fill>
    <fill>
      <patternFill patternType="solid">
        <fgColor rgb="FFCFE2F3"/>
        <bgColor rgb="FFCFE2F3"/>
      </patternFill>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thin">
        <color rgb="FF000000"/>
      </left>
      <right/>
      <top/>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dotted">
        <color rgb="FF000000"/>
      </right>
      <top/>
      <bottom style="dotted">
        <color rgb="FF000000"/>
      </bottom>
      <diagonal/>
    </border>
    <border>
      <left/>
      <right style="dotted">
        <color rgb="FF000000"/>
      </right>
      <top/>
      <bottom style="thin">
        <color rgb="FF000000"/>
      </bottom>
      <diagonal/>
    </border>
  </borders>
  <cellStyleXfs count="1">
    <xf numFmtId="0" fontId="0" fillId="0" borderId="0"/>
  </cellStyleXfs>
  <cellXfs count="121">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14" fontId="1" fillId="0" borderId="0" xfId="0" applyNumberFormat="1" applyFont="1" applyAlignment="1">
      <alignment wrapText="1"/>
    </xf>
    <xf numFmtId="0" fontId="1"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0" xfId="0" applyFont="1" applyAlignment="1"/>
    <xf numFmtId="0" fontId="2" fillId="0" borderId="1" xfId="0" applyFont="1" applyBorder="1" applyAlignment="1"/>
    <xf numFmtId="0" fontId="1" fillId="0" borderId="1" xfId="0" applyFont="1" applyBorder="1" applyAlignment="1"/>
    <xf numFmtId="0" fontId="1" fillId="0" borderId="1" xfId="0" applyFont="1" applyBorder="1"/>
    <xf numFmtId="0" fontId="3" fillId="0" borderId="0" xfId="0" applyFont="1" applyAlignment="1"/>
    <xf numFmtId="0" fontId="4" fillId="2" borderId="0" xfId="0" applyFont="1" applyFill="1" applyAlignment="1">
      <alignment wrapText="1"/>
    </xf>
    <xf numFmtId="1" fontId="4" fillId="2" borderId="0" xfId="0" applyNumberFormat="1" applyFont="1" applyFill="1" applyAlignment="1">
      <alignment wrapText="1"/>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4" fillId="2" borderId="0" xfId="0" applyFont="1" applyFill="1" applyAlignment="1">
      <alignment wrapText="1"/>
    </xf>
    <xf numFmtId="0" fontId="5" fillId="2" borderId="0" xfId="0" applyFont="1" applyFill="1" applyAlignment="1">
      <alignment horizontal="center" wrapText="1"/>
    </xf>
    <xf numFmtId="0" fontId="5" fillId="2" borderId="3" xfId="0" applyFont="1" applyFill="1" applyBorder="1" applyAlignment="1">
      <alignment horizontal="center" wrapText="1"/>
    </xf>
    <xf numFmtId="49" fontId="5" fillId="2" borderId="3" xfId="0" applyNumberFormat="1" applyFont="1" applyFill="1" applyBorder="1" applyAlignment="1">
      <alignment horizontal="center" wrapText="1"/>
    </xf>
    <xf numFmtId="49" fontId="5" fillId="2" borderId="0" xfId="0" applyNumberFormat="1" applyFont="1" applyFill="1" applyAlignment="1">
      <alignment horizontal="center" wrapText="1"/>
    </xf>
    <xf numFmtId="49" fontId="5" fillId="2" borderId="4" xfId="0" applyNumberFormat="1" applyFont="1" applyFill="1" applyBorder="1" applyAlignment="1">
      <alignment horizontal="center" wrapText="1"/>
    </xf>
    <xf numFmtId="164" fontId="5" fillId="2" borderId="4"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5" fillId="2" borderId="3" xfId="0" applyFont="1" applyFill="1" applyBorder="1" applyAlignment="1">
      <alignment horizontal="center" wrapText="1"/>
    </xf>
    <xf numFmtId="0" fontId="5" fillId="2" borderId="0" xfId="0" applyFont="1" applyFill="1" applyAlignment="1"/>
    <xf numFmtId="0" fontId="5" fillId="2" borderId="2" xfId="0" applyFont="1" applyFill="1" applyBorder="1" applyAlignment="1">
      <alignment horizontal="right" wrapText="1"/>
    </xf>
    <xf numFmtId="0" fontId="6" fillId="2" borderId="0" xfId="0" applyFont="1" applyFill="1" applyAlignment="1"/>
    <xf numFmtId="0" fontId="1" fillId="0" borderId="5" xfId="0" applyFont="1" applyBorder="1"/>
    <xf numFmtId="0" fontId="1" fillId="0" borderId="2" xfId="0" applyFont="1" applyBorder="1"/>
    <xf numFmtId="0" fontId="1" fillId="0" borderId="0" xfId="0" applyFont="1" applyAlignment="1"/>
    <xf numFmtId="0" fontId="7" fillId="0" borderId="0" xfId="0" applyFont="1" applyAlignment="1">
      <alignment horizontal="right"/>
    </xf>
    <xf numFmtId="0" fontId="1" fillId="0" borderId="5" xfId="0" applyFont="1" applyBorder="1" applyAlignment="1"/>
    <xf numFmtId="0" fontId="1" fillId="0" borderId="0" xfId="0" applyFont="1" applyAlignment="1"/>
    <xf numFmtId="0" fontId="1" fillId="0" borderId="6"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xf numFmtId="0" fontId="1" fillId="0" borderId="6" xfId="0" applyFont="1" applyBorder="1" applyAlignment="1"/>
    <xf numFmtId="0" fontId="7" fillId="0" borderId="6" xfId="0" applyFont="1" applyBorder="1" applyAlignment="1">
      <alignment horizontal="right"/>
    </xf>
    <xf numFmtId="0" fontId="1" fillId="0" borderId="0" xfId="0" applyFont="1" applyAlignment="1"/>
    <xf numFmtId="0" fontId="1" fillId="0" borderId="6" xfId="0" applyFont="1" applyBorder="1" applyAlignment="1"/>
    <xf numFmtId="0" fontId="1" fillId="0" borderId="2" xfId="0" applyFont="1" applyBorder="1" applyAlignment="1"/>
    <xf numFmtId="0" fontId="7" fillId="0" borderId="0" xfId="0" applyFont="1" applyAlignment="1"/>
    <xf numFmtId="0" fontId="7" fillId="0" borderId="6" xfId="0" applyFont="1" applyBorder="1" applyAlignment="1"/>
    <xf numFmtId="0" fontId="1" fillId="0" borderId="9" xfId="0" applyFont="1" applyBorder="1"/>
    <xf numFmtId="0" fontId="1" fillId="0" borderId="10" xfId="0" applyFont="1" applyBorder="1"/>
    <xf numFmtId="0" fontId="1" fillId="0" borderId="1" xfId="0" applyFont="1" applyBorder="1" applyAlignment="1"/>
    <xf numFmtId="0" fontId="1" fillId="0" borderId="1" xfId="0" applyFont="1" applyBorder="1" applyAlignment="1"/>
    <xf numFmtId="0" fontId="7" fillId="0" borderId="1" xfId="0" applyFont="1" applyBorder="1" applyAlignment="1">
      <alignment horizontal="right"/>
    </xf>
    <xf numFmtId="0" fontId="7" fillId="0" borderId="1" xfId="0" applyFont="1" applyBorder="1" applyAlignment="1"/>
    <xf numFmtId="0" fontId="1" fillId="0" borderId="1" xfId="0" applyFont="1" applyBorder="1" applyAlignment="1"/>
    <xf numFmtId="0" fontId="1" fillId="0" borderId="7" xfId="0" applyFont="1" applyBorder="1" applyAlignment="1"/>
    <xf numFmtId="0" fontId="1" fillId="0" borderId="9" xfId="0" applyFont="1" applyBorder="1" applyAlignment="1"/>
    <xf numFmtId="0" fontId="1" fillId="0" borderId="0" xfId="0" applyFont="1" applyAlignment="1">
      <alignment horizontal="right"/>
    </xf>
    <xf numFmtId="0" fontId="1" fillId="0" borderId="8" xfId="0" applyFont="1" applyBorder="1" applyAlignment="1"/>
    <xf numFmtId="0" fontId="1" fillId="0" borderId="10" xfId="0" applyFont="1" applyBorder="1" applyAlignment="1"/>
    <xf numFmtId="0" fontId="1" fillId="0" borderId="0" xfId="0" applyFont="1" applyAlignment="1">
      <alignment horizontal="right"/>
    </xf>
    <xf numFmtId="0" fontId="1" fillId="0" borderId="6" xfId="0" applyFont="1" applyBorder="1" applyAlignment="1">
      <alignment horizontal="right"/>
    </xf>
    <xf numFmtId="0" fontId="1" fillId="0" borderId="1" xfId="0" applyFont="1" applyBorder="1" applyAlignment="1">
      <alignment horizontal="right"/>
    </xf>
    <xf numFmtId="0" fontId="1" fillId="0" borderId="4" xfId="0" applyFont="1" applyBorder="1"/>
    <xf numFmtId="0" fontId="1" fillId="0" borderId="11" xfId="0" applyFont="1" applyBorder="1"/>
    <xf numFmtId="0" fontId="1" fillId="0" borderId="4" xfId="0" applyFont="1" applyBorder="1" applyAlignment="1"/>
    <xf numFmtId="0" fontId="1" fillId="0" borderId="12" xfId="0" applyFont="1" applyBorder="1"/>
    <xf numFmtId="0" fontId="1" fillId="0" borderId="11" xfId="0" applyFont="1" applyBorder="1" applyAlignment="1"/>
    <xf numFmtId="0" fontId="8" fillId="2" borderId="0" xfId="0" applyFont="1" applyFill="1" applyAlignment="1">
      <alignment wrapText="1"/>
    </xf>
    <xf numFmtId="1" fontId="8" fillId="2" borderId="0" xfId="0" applyNumberFormat="1" applyFont="1" applyFill="1" applyAlignment="1">
      <alignment wrapText="1"/>
    </xf>
    <xf numFmtId="0" fontId="9" fillId="2" borderId="0" xfId="0" applyFont="1" applyFill="1" applyAlignment="1">
      <alignment horizontal="center" wrapText="1"/>
    </xf>
    <xf numFmtId="0" fontId="9" fillId="2" borderId="2" xfId="0" applyFont="1" applyFill="1" applyBorder="1" applyAlignment="1">
      <alignment horizontal="center" wrapText="1"/>
    </xf>
    <xf numFmtId="0" fontId="8" fillId="2" borderId="0" xfId="0" applyFont="1" applyFill="1" applyAlignment="1">
      <alignment wrapText="1"/>
    </xf>
    <xf numFmtId="0" fontId="9" fillId="2" borderId="0" xfId="0" applyFont="1" applyFill="1" applyAlignment="1">
      <alignment horizontal="center" wrapText="1"/>
    </xf>
    <xf numFmtId="0" fontId="9" fillId="2" borderId="3" xfId="0" applyFont="1" applyFill="1" applyBorder="1" applyAlignment="1">
      <alignment horizontal="center" wrapText="1"/>
    </xf>
    <xf numFmtId="49" fontId="9" fillId="2" borderId="3" xfId="0" applyNumberFormat="1" applyFont="1" applyFill="1" applyBorder="1" applyAlignment="1">
      <alignment horizontal="center" wrapText="1"/>
    </xf>
    <xf numFmtId="49" fontId="9" fillId="2" borderId="0" xfId="0" applyNumberFormat="1" applyFont="1" applyFill="1" applyAlignment="1">
      <alignment horizontal="center" wrapText="1"/>
    </xf>
    <xf numFmtId="49" fontId="9" fillId="2" borderId="4"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4" fontId="9" fillId="2" borderId="0" xfId="0" applyNumberFormat="1" applyFont="1" applyFill="1" applyAlignment="1">
      <alignment horizontal="center" wrapText="1"/>
    </xf>
    <xf numFmtId="0" fontId="9" fillId="2" borderId="3" xfId="0" applyFont="1" applyFill="1" applyBorder="1" applyAlignment="1">
      <alignment horizontal="center" wrapText="1"/>
    </xf>
    <xf numFmtId="0" fontId="9" fillId="2" borderId="0" xfId="0" applyFont="1" applyFill="1" applyAlignment="1"/>
    <xf numFmtId="0" fontId="9" fillId="2" borderId="2" xfId="0" applyFont="1" applyFill="1" applyBorder="1" applyAlignment="1">
      <alignment horizontal="right" wrapText="1"/>
    </xf>
    <xf numFmtId="0" fontId="1" fillId="2" borderId="0" xfId="0" applyFont="1" applyFill="1" applyAlignment="1"/>
    <xf numFmtId="0" fontId="1" fillId="0" borderId="2" xfId="0" applyFont="1" applyBorder="1" applyAlignment="1">
      <alignment horizontal="right"/>
    </xf>
    <xf numFmtId="0" fontId="7" fillId="0" borderId="6" xfId="0" applyFont="1" applyBorder="1" applyAlignment="1"/>
    <xf numFmtId="0" fontId="1" fillId="0" borderId="8" xfId="0" applyFont="1" applyBorder="1" applyAlignment="1">
      <alignment horizontal="right"/>
    </xf>
    <xf numFmtId="0" fontId="7" fillId="0" borderId="1" xfId="0" applyFont="1" applyBorder="1" applyAlignment="1"/>
    <xf numFmtId="0" fontId="1" fillId="0" borderId="10" xfId="0" applyFont="1" applyBorder="1" applyAlignment="1">
      <alignment horizontal="right"/>
    </xf>
    <xf numFmtId="0" fontId="1" fillId="0" borderId="4" xfId="0" applyFont="1" applyBorder="1" applyAlignment="1"/>
    <xf numFmtId="0" fontId="7" fillId="0" borderId="10" xfId="0" applyFont="1" applyBorder="1" applyAlignment="1">
      <alignment horizontal="right"/>
    </xf>
    <xf numFmtId="0" fontId="7" fillId="0" borderId="2" xfId="0" applyFont="1" applyBorder="1" applyAlignment="1">
      <alignment horizontal="right"/>
    </xf>
    <xf numFmtId="0" fontId="7" fillId="0" borderId="6" xfId="0" applyFont="1" applyBorder="1" applyAlignment="1"/>
    <xf numFmtId="0" fontId="7" fillId="0" borderId="8" xfId="0" applyFont="1" applyBorder="1" applyAlignment="1">
      <alignment horizontal="right"/>
    </xf>
    <xf numFmtId="0" fontId="7" fillId="0" borderId="0" xfId="0" applyFont="1" applyAlignment="1"/>
    <xf numFmtId="0" fontId="7" fillId="0" borderId="8" xfId="0" applyFont="1" applyBorder="1" applyAlignment="1"/>
    <xf numFmtId="0" fontId="7" fillId="0" borderId="2" xfId="0" applyFont="1" applyBorder="1" applyAlignment="1"/>
    <xf numFmtId="0" fontId="7" fillId="0" borderId="10" xfId="0" applyFont="1" applyBorder="1" applyAlignment="1"/>
    <xf numFmtId="0" fontId="1" fillId="0" borderId="2" xfId="0" applyFont="1" applyBorder="1" applyAlignment="1">
      <alignment horizontal="right"/>
    </xf>
    <xf numFmtId="1" fontId="1" fillId="0" borderId="0" xfId="0" applyNumberFormat="1" applyFont="1" applyAlignment="1">
      <alignment wrapText="1"/>
    </xf>
    <xf numFmtId="49"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horizontal="right" wrapText="1"/>
    </xf>
    <xf numFmtId="0" fontId="1" fillId="0" borderId="0" xfId="0" applyFont="1"/>
    <xf numFmtId="0" fontId="1" fillId="0" borderId="3" xfId="0" applyFont="1" applyBorder="1"/>
    <xf numFmtId="0" fontId="1" fillId="0" borderId="0" xfId="0" applyFont="1" applyAlignment="1">
      <alignment wrapText="1"/>
    </xf>
    <xf numFmtId="1"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0" fontId="1" fillId="0" borderId="0" xfId="0" applyFont="1" applyAlignment="1"/>
    <xf numFmtId="0" fontId="7" fillId="2" borderId="0" xfId="0" applyFont="1" applyFill="1" applyAlignment="1">
      <alignment wrapText="1"/>
    </xf>
    <xf numFmtId="0" fontId="7" fillId="2" borderId="0" xfId="0" applyFont="1" applyFill="1" applyAlignment="1"/>
    <xf numFmtId="0" fontId="7" fillId="2" borderId="0" xfId="0" applyFont="1" applyFill="1" applyAlignment="1">
      <alignment horizontal="right" wrapText="1"/>
    </xf>
    <xf numFmtId="0" fontId="7" fillId="0" borderId="0" xfId="0" applyFont="1" applyAlignment="1">
      <alignment wrapText="1"/>
    </xf>
    <xf numFmtId="0" fontId="7"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wrapText="1"/>
    </xf>
    <xf numFmtId="0" fontId="1"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hanael Swecker" id="{AB3A0F66-0F1C-4678-9464-40032F144835}" userId="f64d82cd8643c45e"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2-01-07T19:09:55.49" personId="{AB3A0F66-0F1C-4678-9464-40032F144835}" id="{B65486AE-17B8-423D-9A86-3DDBA7B9C122}">
    <text>Changed from 6/5 to 6/7</text>
  </threadedComment>
</ThreadedComments>
</file>

<file path=xl/threadedComments/threadedComment2.xml><?xml version="1.0" encoding="utf-8"?>
<ThreadedComments xmlns="http://schemas.microsoft.com/office/spreadsheetml/2018/threadedcomments" xmlns:x="http://schemas.openxmlformats.org/spreadsheetml/2006/main">
  <threadedComment ref="AI35" dT="2022-01-07T19:14:03.50" personId="{AB3A0F66-0F1C-4678-9464-40032F144835}" id="{BC294CB4-5EA6-4041-89E1-E7AB9A4111F4}">
    <text>Changed from 130 to 1130 step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election activeCell="D12" sqref="D12"/>
    </sheetView>
    <sheetView workbookViewId="1"/>
  </sheetViews>
  <sheetFormatPr defaultColWidth="14.42578125" defaultRowHeight="15.75" customHeight="1"/>
  <cols>
    <col min="2" max="8" width="10.28515625" customWidth="1"/>
  </cols>
  <sheetData>
    <row r="1" spans="1:26">
      <c r="B1" s="1">
        <v>4</v>
      </c>
      <c r="C1" s="1">
        <v>5</v>
      </c>
      <c r="D1" s="1">
        <v>6</v>
      </c>
      <c r="E1" s="1">
        <v>7</v>
      </c>
      <c r="F1" s="1">
        <v>8</v>
      </c>
      <c r="G1" s="1">
        <v>9</v>
      </c>
      <c r="H1" s="1">
        <v>10</v>
      </c>
      <c r="J1" s="2"/>
    </row>
    <row r="2" spans="1:26">
      <c r="A2" s="3" t="s">
        <v>0</v>
      </c>
      <c r="B2" s="4">
        <v>44354</v>
      </c>
      <c r="C2" s="4">
        <v>44359</v>
      </c>
      <c r="D2" s="4">
        <v>44376</v>
      </c>
      <c r="E2" s="4">
        <v>44380</v>
      </c>
      <c r="F2" s="4">
        <v>44387</v>
      </c>
      <c r="G2" s="4">
        <v>44401</v>
      </c>
      <c r="H2" s="4">
        <v>44408</v>
      </c>
      <c r="I2" s="5"/>
      <c r="J2" s="6" t="s">
        <v>1</v>
      </c>
      <c r="K2" s="7" t="s">
        <v>2</v>
      </c>
      <c r="L2" s="8"/>
      <c r="M2" s="3" t="s">
        <v>3</v>
      </c>
      <c r="N2" s="5"/>
      <c r="O2" s="5"/>
      <c r="P2" s="5"/>
      <c r="Q2" s="5"/>
      <c r="R2" s="5"/>
      <c r="S2" s="5"/>
      <c r="T2" s="5"/>
      <c r="U2" s="5"/>
      <c r="V2" s="5"/>
      <c r="W2" s="5"/>
      <c r="X2" s="5"/>
      <c r="Y2" s="5"/>
      <c r="Z2" s="5"/>
    </row>
    <row r="3" spans="1:26">
      <c r="A3" s="1" t="s">
        <v>4</v>
      </c>
      <c r="B3" s="1" t="s">
        <v>3</v>
      </c>
      <c r="C3" s="1" t="s">
        <v>3</v>
      </c>
      <c r="D3" s="1" t="s">
        <v>3</v>
      </c>
      <c r="E3" s="1" t="s">
        <v>3</v>
      </c>
      <c r="F3" s="1" t="s">
        <v>3</v>
      </c>
      <c r="G3" s="1" t="s">
        <v>3</v>
      </c>
      <c r="H3" s="1" t="s">
        <v>3</v>
      </c>
      <c r="J3" s="9" t="s">
        <v>5</v>
      </c>
      <c r="K3" s="1" t="s">
        <v>6</v>
      </c>
    </row>
    <row r="4" spans="1:26">
      <c r="A4" s="1" t="s">
        <v>7</v>
      </c>
      <c r="B4" s="1" t="s">
        <v>3</v>
      </c>
      <c r="C4" s="1" t="s">
        <v>3</v>
      </c>
      <c r="D4" s="1" t="s">
        <v>3</v>
      </c>
      <c r="E4" s="1" t="s">
        <v>3</v>
      </c>
      <c r="F4" s="1" t="s">
        <v>3</v>
      </c>
      <c r="G4" s="1" t="s">
        <v>3</v>
      </c>
      <c r="H4" s="1" t="s">
        <v>3</v>
      </c>
      <c r="J4" s="9" t="s">
        <v>8</v>
      </c>
      <c r="K4" s="1" t="s">
        <v>9</v>
      </c>
    </row>
    <row r="5" spans="1:26">
      <c r="A5" s="1" t="s">
        <v>10</v>
      </c>
      <c r="B5" s="1" t="s">
        <v>3</v>
      </c>
      <c r="C5" s="1" t="s">
        <v>3</v>
      </c>
      <c r="D5" s="1" t="s">
        <v>3</v>
      </c>
      <c r="E5" s="1" t="s">
        <v>3</v>
      </c>
      <c r="F5" s="1" t="s">
        <v>3</v>
      </c>
      <c r="G5" s="1" t="s">
        <v>3</v>
      </c>
      <c r="H5" s="1" t="s">
        <v>3</v>
      </c>
      <c r="J5" s="9" t="s">
        <v>11</v>
      </c>
      <c r="K5" s="1" t="s">
        <v>12</v>
      </c>
    </row>
    <row r="6" spans="1:26">
      <c r="A6" s="1" t="s">
        <v>13</v>
      </c>
      <c r="B6" s="1" t="s">
        <v>3</v>
      </c>
      <c r="C6" s="1" t="s">
        <v>3</v>
      </c>
      <c r="D6" s="1" t="s">
        <v>3</v>
      </c>
      <c r="E6" s="1" t="s">
        <v>3</v>
      </c>
      <c r="F6" s="1" t="s">
        <v>3</v>
      </c>
      <c r="G6" s="1" t="s">
        <v>3</v>
      </c>
      <c r="H6" s="1" t="s">
        <v>3</v>
      </c>
      <c r="J6" s="9" t="s">
        <v>14</v>
      </c>
      <c r="K6" s="1" t="s">
        <v>15</v>
      </c>
    </row>
    <row r="7" spans="1:26">
      <c r="A7" s="1" t="s">
        <v>16</v>
      </c>
      <c r="B7" s="1" t="s">
        <v>3</v>
      </c>
      <c r="C7" s="1" t="s">
        <v>3</v>
      </c>
      <c r="D7" s="1" t="s">
        <v>3</v>
      </c>
      <c r="E7" s="1" t="s">
        <v>3</v>
      </c>
      <c r="F7" s="1" t="s">
        <v>3</v>
      </c>
      <c r="G7" s="1" t="s">
        <v>3</v>
      </c>
      <c r="H7" s="1" t="s">
        <v>3</v>
      </c>
      <c r="J7" s="9" t="s">
        <v>17</v>
      </c>
      <c r="K7" s="1" t="s">
        <v>18</v>
      </c>
    </row>
    <row r="8" spans="1:26">
      <c r="A8" s="1" t="s">
        <v>19</v>
      </c>
      <c r="B8" s="1" t="s">
        <v>3</v>
      </c>
      <c r="C8" s="1" t="s">
        <v>3</v>
      </c>
      <c r="D8" s="1" t="s">
        <v>3</v>
      </c>
      <c r="E8" s="1" t="s">
        <v>3</v>
      </c>
      <c r="F8" s="1" t="s">
        <v>3</v>
      </c>
      <c r="G8" s="1" t="s">
        <v>3</v>
      </c>
      <c r="H8" s="1" t="s">
        <v>3</v>
      </c>
      <c r="J8" s="2"/>
    </row>
    <row r="9" spans="1:26">
      <c r="A9" s="1" t="s">
        <v>20</v>
      </c>
      <c r="B9" s="1" t="s">
        <v>21</v>
      </c>
      <c r="C9" s="1" t="s">
        <v>21</v>
      </c>
      <c r="D9" s="1" t="s">
        <v>3</v>
      </c>
      <c r="E9" s="1" t="s">
        <v>3</v>
      </c>
      <c r="F9" s="1" t="s">
        <v>3</v>
      </c>
      <c r="G9" s="1" t="s">
        <v>3</v>
      </c>
      <c r="H9" s="1" t="s">
        <v>3</v>
      </c>
      <c r="J9" s="10" t="s">
        <v>22</v>
      </c>
      <c r="K9" s="11" t="s">
        <v>23</v>
      </c>
      <c r="L9" s="12"/>
    </row>
    <row r="10" spans="1:26">
      <c r="A10" s="1" t="s">
        <v>24</v>
      </c>
      <c r="B10" s="1" t="s">
        <v>3</v>
      </c>
      <c r="C10" s="1" t="s">
        <v>25</v>
      </c>
      <c r="D10" s="1" t="s">
        <v>25</v>
      </c>
      <c r="E10" s="1" t="s">
        <v>25</v>
      </c>
      <c r="F10" s="1" t="s">
        <v>25</v>
      </c>
      <c r="G10" s="1" t="s">
        <v>26</v>
      </c>
      <c r="H10" s="1" t="s">
        <v>3</v>
      </c>
      <c r="J10" s="9" t="s">
        <v>27</v>
      </c>
      <c r="K10" s="1" t="s">
        <v>28</v>
      </c>
    </row>
    <row r="11" spans="1:26">
      <c r="A11" s="1" t="s">
        <v>29</v>
      </c>
      <c r="B11" s="1" t="s">
        <v>3</v>
      </c>
      <c r="C11" s="1" t="s">
        <v>3</v>
      </c>
      <c r="D11" s="1" t="s">
        <v>3</v>
      </c>
      <c r="E11" s="1" t="s">
        <v>3</v>
      </c>
      <c r="F11" s="1" t="s">
        <v>3</v>
      </c>
      <c r="G11" s="1" t="s">
        <v>3</v>
      </c>
      <c r="H11" s="1" t="s">
        <v>26</v>
      </c>
      <c r="J11" s="9" t="s">
        <v>30</v>
      </c>
      <c r="K11" s="1" t="s">
        <v>31</v>
      </c>
    </row>
    <row r="12" spans="1:26">
      <c r="A12" s="1" t="s">
        <v>32</v>
      </c>
      <c r="B12" s="1" t="s">
        <v>33</v>
      </c>
      <c r="C12" s="1" t="s">
        <v>33</v>
      </c>
      <c r="D12" s="1" t="s">
        <v>33</v>
      </c>
      <c r="E12" s="1" t="s">
        <v>34</v>
      </c>
      <c r="F12" s="1" t="s">
        <v>34</v>
      </c>
      <c r="G12" s="1" t="s">
        <v>26</v>
      </c>
      <c r="H12" s="1" t="s">
        <v>33</v>
      </c>
      <c r="J12" s="9" t="s">
        <v>35</v>
      </c>
      <c r="K12" s="1" t="s">
        <v>36</v>
      </c>
    </row>
    <row r="13" spans="1:26">
      <c r="A13" s="1" t="s">
        <v>37</v>
      </c>
      <c r="B13" s="1" t="s">
        <v>34</v>
      </c>
      <c r="C13" s="1" t="s">
        <v>33</v>
      </c>
      <c r="D13" s="1" t="s">
        <v>33</v>
      </c>
      <c r="E13" s="1" t="s">
        <v>33</v>
      </c>
      <c r="F13" s="1" t="s">
        <v>33</v>
      </c>
      <c r="G13" s="1" t="s">
        <v>3</v>
      </c>
      <c r="H13" s="1" t="s">
        <v>3</v>
      </c>
      <c r="J13" s="2"/>
    </row>
    <row r="14" spans="1:26">
      <c r="A14" s="1" t="s">
        <v>38</v>
      </c>
      <c r="B14" s="1" t="s">
        <v>26</v>
      </c>
      <c r="C14" s="1" t="s">
        <v>3</v>
      </c>
      <c r="D14" s="1" t="s">
        <v>3</v>
      </c>
      <c r="E14" s="1" t="s">
        <v>3</v>
      </c>
      <c r="F14" s="1" t="s">
        <v>3</v>
      </c>
      <c r="G14" s="1" t="s">
        <v>3</v>
      </c>
      <c r="H14" s="1" t="s">
        <v>25</v>
      </c>
      <c r="J14" s="10" t="s">
        <v>39</v>
      </c>
      <c r="K14" s="11" t="s">
        <v>40</v>
      </c>
      <c r="L14" s="12"/>
    </row>
    <row r="15" spans="1:26">
      <c r="A15" s="1" t="s">
        <v>41</v>
      </c>
      <c r="B15" s="1" t="s">
        <v>3</v>
      </c>
      <c r="C15" s="1" t="s">
        <v>3</v>
      </c>
      <c r="D15" s="1" t="s">
        <v>3</v>
      </c>
      <c r="E15" s="1" t="s">
        <v>3</v>
      </c>
      <c r="F15" s="1" t="s">
        <v>3</v>
      </c>
      <c r="G15" s="1" t="s">
        <v>3</v>
      </c>
      <c r="H15" s="1" t="s">
        <v>3</v>
      </c>
      <c r="J15" s="9" t="s">
        <v>42</v>
      </c>
      <c r="K15" s="1" t="s">
        <v>43</v>
      </c>
    </row>
    <row r="16" spans="1:26">
      <c r="A16" s="1" t="s">
        <v>44</v>
      </c>
      <c r="B16" s="1" t="s">
        <v>3</v>
      </c>
      <c r="C16" s="1" t="s">
        <v>3</v>
      </c>
      <c r="D16" s="1" t="s">
        <v>3</v>
      </c>
      <c r="E16" s="1" t="s">
        <v>3</v>
      </c>
      <c r="F16" s="1" t="s">
        <v>3</v>
      </c>
      <c r="G16" s="1" t="s">
        <v>3</v>
      </c>
      <c r="H16" s="1" t="s">
        <v>3</v>
      </c>
      <c r="J16" s="9" t="s">
        <v>45</v>
      </c>
      <c r="K16" s="1" t="s">
        <v>46</v>
      </c>
    </row>
    <row r="17" spans="1:11">
      <c r="A17" s="1" t="s">
        <v>47</v>
      </c>
      <c r="B17" s="1" t="s">
        <v>3</v>
      </c>
      <c r="C17" s="1" t="s">
        <v>3</v>
      </c>
      <c r="D17" s="1" t="s">
        <v>3</v>
      </c>
      <c r="E17" s="1" t="s">
        <v>3</v>
      </c>
      <c r="F17" s="1" t="s">
        <v>3</v>
      </c>
      <c r="G17" s="1" t="s">
        <v>3</v>
      </c>
      <c r="H17" s="1" t="s">
        <v>3</v>
      </c>
      <c r="J17" s="9" t="s">
        <v>48</v>
      </c>
      <c r="K17" s="1" t="s">
        <v>49</v>
      </c>
    </row>
    <row r="18" spans="1:11">
      <c r="A18" s="1" t="s">
        <v>50</v>
      </c>
      <c r="B18" s="1" t="s">
        <v>3</v>
      </c>
      <c r="C18" s="1" t="s">
        <v>3</v>
      </c>
      <c r="D18" s="1" t="s">
        <v>3</v>
      </c>
      <c r="E18" s="1" t="s">
        <v>3</v>
      </c>
      <c r="F18" s="1" t="s">
        <v>21</v>
      </c>
      <c r="G18" s="1" t="s">
        <v>3</v>
      </c>
      <c r="H18" s="1" t="s">
        <v>3</v>
      </c>
      <c r="J18" s="2"/>
    </row>
    <row r="19" spans="1:11">
      <c r="A19" s="1" t="s">
        <v>51</v>
      </c>
      <c r="B19" s="1" t="s">
        <v>3</v>
      </c>
      <c r="C19" s="1" t="s">
        <v>3</v>
      </c>
      <c r="D19" s="1" t="s">
        <v>3</v>
      </c>
      <c r="E19" s="1" t="s">
        <v>3</v>
      </c>
      <c r="F19" s="1" t="s">
        <v>3</v>
      </c>
      <c r="G19" s="1" t="s">
        <v>3</v>
      </c>
      <c r="H19" s="1" t="s">
        <v>3</v>
      </c>
      <c r="J19" s="2"/>
    </row>
    <row r="20" spans="1:11">
      <c r="A20" s="1" t="s">
        <v>52</v>
      </c>
      <c r="B20" s="1" t="s">
        <v>3</v>
      </c>
      <c r="C20" s="1" t="s">
        <v>3</v>
      </c>
      <c r="D20" s="1" t="s">
        <v>3</v>
      </c>
      <c r="E20" s="1" t="s">
        <v>3</v>
      </c>
      <c r="F20" s="1" t="s">
        <v>3</v>
      </c>
      <c r="G20" s="1" t="s">
        <v>3</v>
      </c>
      <c r="H20" s="1" t="s">
        <v>3</v>
      </c>
      <c r="J20" s="2"/>
    </row>
    <row r="21" spans="1:11">
      <c r="A21" s="1" t="s">
        <v>53</v>
      </c>
      <c r="B21" s="1" t="s">
        <v>3</v>
      </c>
      <c r="C21" s="1" t="s">
        <v>3</v>
      </c>
      <c r="D21" s="1" t="s">
        <v>26</v>
      </c>
      <c r="E21" s="1" t="s">
        <v>3</v>
      </c>
      <c r="F21" s="1" t="s">
        <v>3</v>
      </c>
      <c r="G21" s="1" t="s">
        <v>3</v>
      </c>
      <c r="H21" s="1" t="s">
        <v>3</v>
      </c>
      <c r="J21" s="2"/>
    </row>
    <row r="22" spans="1:11">
      <c r="A22" s="1" t="s">
        <v>54</v>
      </c>
      <c r="B22" s="1" t="s">
        <v>3</v>
      </c>
      <c r="C22" s="1" t="s">
        <v>21</v>
      </c>
      <c r="D22" s="1" t="s">
        <v>3</v>
      </c>
      <c r="E22" s="1" t="s">
        <v>3</v>
      </c>
      <c r="F22" s="1" t="s">
        <v>3</v>
      </c>
      <c r="G22" s="1" t="s">
        <v>3</v>
      </c>
      <c r="H22" s="1" t="s">
        <v>3</v>
      </c>
      <c r="J22" s="2"/>
    </row>
    <row r="23" spans="1:11">
      <c r="A23" s="1" t="s">
        <v>55</v>
      </c>
      <c r="B23" s="1" t="s">
        <v>3</v>
      </c>
      <c r="C23" s="1" t="s">
        <v>21</v>
      </c>
      <c r="D23" s="1" t="s">
        <v>3</v>
      </c>
      <c r="E23" s="1" t="s">
        <v>3</v>
      </c>
      <c r="F23" s="1" t="s">
        <v>3</v>
      </c>
      <c r="G23" s="1" t="s">
        <v>3</v>
      </c>
      <c r="H23" s="1" t="s">
        <v>3</v>
      </c>
      <c r="J23" s="2"/>
    </row>
    <row r="24" spans="1:11">
      <c r="A24" s="1" t="s">
        <v>56</v>
      </c>
      <c r="B24" s="1" t="s">
        <v>3</v>
      </c>
      <c r="C24" s="1" t="s">
        <v>3</v>
      </c>
      <c r="D24" s="1" t="s">
        <v>3</v>
      </c>
      <c r="E24" s="1" t="s">
        <v>3</v>
      </c>
      <c r="F24" s="1" t="s">
        <v>3</v>
      </c>
      <c r="G24" s="1" t="s">
        <v>3</v>
      </c>
      <c r="H24" s="1" t="s">
        <v>3</v>
      </c>
      <c r="J24" s="2"/>
    </row>
    <row r="25" spans="1:11">
      <c r="A25" s="1" t="s">
        <v>57</v>
      </c>
      <c r="B25" s="1" t="s">
        <v>3</v>
      </c>
      <c r="C25" s="1" t="s">
        <v>3</v>
      </c>
      <c r="D25" s="1" t="s">
        <v>3</v>
      </c>
      <c r="E25" s="1" t="s">
        <v>3</v>
      </c>
      <c r="F25" s="1" t="s">
        <v>3</v>
      </c>
      <c r="G25" s="1" t="s">
        <v>3</v>
      </c>
      <c r="H25" s="1" t="s">
        <v>3</v>
      </c>
      <c r="J25" s="2"/>
    </row>
    <row r="26" spans="1:11">
      <c r="A26" s="1" t="s">
        <v>58</v>
      </c>
      <c r="B26" s="1" t="s">
        <v>3</v>
      </c>
      <c r="C26" s="1" t="s">
        <v>3</v>
      </c>
      <c r="D26" s="1" t="s">
        <v>3</v>
      </c>
      <c r="E26" s="1" t="s">
        <v>3</v>
      </c>
      <c r="F26" s="1" t="s">
        <v>3</v>
      </c>
      <c r="G26" s="1" t="s">
        <v>3</v>
      </c>
      <c r="H26" s="1" t="s">
        <v>3</v>
      </c>
      <c r="J26" s="2"/>
    </row>
    <row r="27" spans="1:11">
      <c r="A27" s="1" t="s">
        <v>59</v>
      </c>
      <c r="B27" s="1" t="s">
        <v>26</v>
      </c>
      <c r="C27" s="1" t="s">
        <v>26</v>
      </c>
      <c r="D27" s="1" t="s">
        <v>3</v>
      </c>
      <c r="E27" s="1" t="s">
        <v>26</v>
      </c>
      <c r="F27" s="1" t="s">
        <v>26</v>
      </c>
      <c r="G27" s="1" t="s">
        <v>3</v>
      </c>
      <c r="H27" s="1" t="s">
        <v>3</v>
      </c>
      <c r="J27" s="2"/>
    </row>
    <row r="28" spans="1:11">
      <c r="A28" s="1" t="s">
        <v>60</v>
      </c>
      <c r="B28" s="1" t="s">
        <v>26</v>
      </c>
      <c r="C28" s="1" t="s">
        <v>26</v>
      </c>
      <c r="D28" s="1" t="s">
        <v>26</v>
      </c>
      <c r="E28" s="1" t="s">
        <v>3</v>
      </c>
      <c r="F28" s="1" t="s">
        <v>26</v>
      </c>
      <c r="G28" s="1" t="s">
        <v>26</v>
      </c>
      <c r="H28" s="1" t="s">
        <v>26</v>
      </c>
      <c r="J28" s="2"/>
    </row>
    <row r="29" spans="1:11">
      <c r="A29" s="1" t="s">
        <v>61</v>
      </c>
      <c r="B29" s="1" t="s">
        <v>26</v>
      </c>
      <c r="C29" s="1" t="s">
        <v>26</v>
      </c>
      <c r="D29" s="1" t="s">
        <v>25</v>
      </c>
      <c r="E29" s="1" t="s">
        <v>3</v>
      </c>
      <c r="F29" s="1" t="s">
        <v>3</v>
      </c>
      <c r="G29" s="1" t="s">
        <v>26</v>
      </c>
      <c r="H29" s="1" t="s">
        <v>3</v>
      </c>
      <c r="J29" s="2"/>
    </row>
    <row r="30" spans="1:11">
      <c r="A30" s="1" t="s">
        <v>62</v>
      </c>
      <c r="B30" s="1" t="s">
        <v>26</v>
      </c>
      <c r="C30" s="1" t="s">
        <v>25</v>
      </c>
      <c r="D30" s="1" t="s">
        <v>26</v>
      </c>
      <c r="E30" s="1" t="s">
        <v>26</v>
      </c>
      <c r="F30" s="1" t="s">
        <v>34</v>
      </c>
      <c r="G30" s="1" t="s">
        <v>26</v>
      </c>
      <c r="H30" s="1" t="s">
        <v>26</v>
      </c>
      <c r="J30" s="2"/>
    </row>
    <row r="31" spans="1:11">
      <c r="A31" s="1" t="s">
        <v>63</v>
      </c>
      <c r="B31" s="1" t="s">
        <v>26</v>
      </c>
      <c r="C31" s="1" t="s">
        <v>26</v>
      </c>
      <c r="D31" s="1" t="s">
        <v>3</v>
      </c>
      <c r="E31" s="1" t="s">
        <v>26</v>
      </c>
      <c r="F31" s="1" t="s">
        <v>26</v>
      </c>
      <c r="G31" s="1" t="s">
        <v>26</v>
      </c>
      <c r="H31" s="1" t="s">
        <v>3</v>
      </c>
      <c r="J31" s="2"/>
    </row>
    <row r="32" spans="1:11">
      <c r="A32" s="1" t="s">
        <v>64</v>
      </c>
      <c r="B32" s="1" t="s">
        <v>3</v>
      </c>
      <c r="C32" s="1" t="s">
        <v>3</v>
      </c>
      <c r="D32" s="1" t="s">
        <v>3</v>
      </c>
      <c r="E32" s="1" t="s">
        <v>3</v>
      </c>
      <c r="F32" s="1" t="s">
        <v>3</v>
      </c>
      <c r="H32" s="1" t="s">
        <v>3</v>
      </c>
      <c r="J32" s="2"/>
    </row>
    <row r="33" spans="1:10">
      <c r="A33" s="1" t="s">
        <v>65</v>
      </c>
      <c r="B33" s="1" t="s">
        <v>3</v>
      </c>
      <c r="C33" s="1" t="s">
        <v>3</v>
      </c>
      <c r="D33" s="1" t="s">
        <v>3</v>
      </c>
      <c r="E33" s="1" t="s">
        <v>3</v>
      </c>
      <c r="F33" s="1" t="s">
        <v>3</v>
      </c>
      <c r="G33" s="1" t="s">
        <v>3</v>
      </c>
      <c r="H33" s="1" t="s">
        <v>3</v>
      </c>
      <c r="J33" s="2"/>
    </row>
    <row r="34" spans="1:10">
      <c r="A34" s="1" t="s">
        <v>66</v>
      </c>
      <c r="B34" s="1" t="s">
        <v>25</v>
      </c>
      <c r="C34" s="1" t="s">
        <v>25</v>
      </c>
      <c r="D34" s="1" t="s">
        <v>25</v>
      </c>
      <c r="E34" s="1" t="s">
        <v>25</v>
      </c>
      <c r="F34" s="1" t="s">
        <v>25</v>
      </c>
      <c r="G34" s="1" t="s">
        <v>25</v>
      </c>
      <c r="H34" s="1" t="s">
        <v>3</v>
      </c>
      <c r="J34" s="2"/>
    </row>
    <row r="35" spans="1:10">
      <c r="A35" s="1" t="s">
        <v>67</v>
      </c>
      <c r="B35" s="1" t="s">
        <v>3</v>
      </c>
      <c r="C35" s="1" t="s">
        <v>3</v>
      </c>
      <c r="D35" s="1" t="s">
        <v>3</v>
      </c>
      <c r="E35" s="1" t="s">
        <v>3</v>
      </c>
      <c r="F35" s="1" t="s">
        <v>3</v>
      </c>
      <c r="G35" s="1" t="s">
        <v>3</v>
      </c>
      <c r="H35" s="1" t="s">
        <v>3</v>
      </c>
      <c r="J35" s="2"/>
    </row>
    <row r="36" spans="1:10">
      <c r="A36" s="1" t="s">
        <v>68</v>
      </c>
      <c r="B36" s="1" t="s">
        <v>25</v>
      </c>
      <c r="C36" s="1" t="s">
        <v>25</v>
      </c>
      <c r="D36" s="1" t="s">
        <v>25</v>
      </c>
      <c r="E36" s="1" t="s">
        <v>25</v>
      </c>
      <c r="F36" s="1" t="s">
        <v>25</v>
      </c>
      <c r="G36" s="1" t="s">
        <v>3</v>
      </c>
      <c r="H36" s="1" t="s">
        <v>25</v>
      </c>
      <c r="J36" s="2"/>
    </row>
    <row r="37" spans="1:10">
      <c r="A37" s="1" t="s">
        <v>69</v>
      </c>
      <c r="B37" s="1" t="s">
        <v>3</v>
      </c>
      <c r="C37" s="1" t="s">
        <v>3</v>
      </c>
      <c r="D37" s="1" t="s">
        <v>3</v>
      </c>
      <c r="E37" s="1" t="s">
        <v>3</v>
      </c>
      <c r="F37" s="1" t="s">
        <v>3</v>
      </c>
      <c r="G37" s="1" t="s">
        <v>3</v>
      </c>
      <c r="H37" s="1" t="s">
        <v>3</v>
      </c>
      <c r="J37" s="2"/>
    </row>
    <row r="38" spans="1:10">
      <c r="A38" s="1" t="s">
        <v>70</v>
      </c>
      <c r="B38" s="1" t="s">
        <v>25</v>
      </c>
      <c r="C38" s="1" t="s">
        <v>25</v>
      </c>
      <c r="D38" s="1" t="s">
        <v>25</v>
      </c>
      <c r="E38" s="1" t="s">
        <v>25</v>
      </c>
      <c r="F38" s="1" t="s">
        <v>33</v>
      </c>
      <c r="G38" s="1" t="s">
        <v>34</v>
      </c>
      <c r="H38" s="1" t="s">
        <v>25</v>
      </c>
      <c r="J38" s="2"/>
    </row>
    <row r="39" spans="1:10">
      <c r="A39" s="1" t="s">
        <v>71</v>
      </c>
      <c r="B39" s="1" t="s">
        <v>3</v>
      </c>
      <c r="C39" s="1" t="s">
        <v>3</v>
      </c>
      <c r="D39" s="1" t="s">
        <v>3</v>
      </c>
      <c r="E39" s="1" t="s">
        <v>3</v>
      </c>
      <c r="F39" s="1" t="s">
        <v>3</v>
      </c>
      <c r="G39" s="1" t="s">
        <v>3</v>
      </c>
      <c r="H39" s="1" t="s">
        <v>3</v>
      </c>
      <c r="J39" s="2"/>
    </row>
    <row r="40" spans="1:10">
      <c r="A40" s="1" t="s">
        <v>72</v>
      </c>
      <c r="B40" s="1" t="s">
        <v>25</v>
      </c>
      <c r="C40" s="1" t="s">
        <v>25</v>
      </c>
      <c r="D40" s="1" t="s">
        <v>25</v>
      </c>
      <c r="E40" s="1" t="s">
        <v>25</v>
      </c>
      <c r="F40" s="1" t="s">
        <v>3</v>
      </c>
      <c r="G40" s="1" t="s">
        <v>3</v>
      </c>
      <c r="H40" s="1" t="s">
        <v>3</v>
      </c>
      <c r="J40" s="2"/>
    </row>
    <row r="41" spans="1:10">
      <c r="A41" s="1" t="s">
        <v>73</v>
      </c>
      <c r="B41" s="1" t="s">
        <v>3</v>
      </c>
      <c r="C41" s="1" t="s">
        <v>3</v>
      </c>
      <c r="D41" s="1" t="s">
        <v>3</v>
      </c>
      <c r="E41" s="1" t="s">
        <v>3</v>
      </c>
      <c r="F41" s="1" t="s">
        <v>3</v>
      </c>
      <c r="G41" s="1" t="s">
        <v>3</v>
      </c>
      <c r="H41" s="1" t="s">
        <v>3</v>
      </c>
      <c r="J41" s="2"/>
    </row>
    <row r="42" spans="1:10">
      <c r="A42" s="1" t="s">
        <v>74</v>
      </c>
      <c r="B42" s="1" t="s">
        <v>25</v>
      </c>
      <c r="C42" s="1" t="s">
        <v>25</v>
      </c>
      <c r="D42" s="1" t="s">
        <v>3</v>
      </c>
      <c r="E42" s="1" t="s">
        <v>3</v>
      </c>
      <c r="F42" s="1" t="s">
        <v>3</v>
      </c>
      <c r="G42" s="1" t="s">
        <v>3</v>
      </c>
      <c r="H42" s="1" t="s">
        <v>3</v>
      </c>
      <c r="J42" s="2"/>
    </row>
    <row r="43" spans="1:10">
      <c r="A43" s="1" t="s">
        <v>75</v>
      </c>
      <c r="B43" s="1" t="s">
        <v>3</v>
      </c>
      <c r="C43" s="1" t="s">
        <v>3</v>
      </c>
      <c r="D43" s="1" t="s">
        <v>3</v>
      </c>
      <c r="E43" s="1" t="s">
        <v>3</v>
      </c>
      <c r="F43" s="1" t="s">
        <v>3</v>
      </c>
      <c r="G43" s="1" t="s">
        <v>3</v>
      </c>
      <c r="H43" s="1" t="s">
        <v>3</v>
      </c>
      <c r="J43" s="2"/>
    </row>
    <row r="44" spans="1:10">
      <c r="A44" s="1" t="s">
        <v>76</v>
      </c>
      <c r="B44" s="1" t="s">
        <v>3</v>
      </c>
      <c r="C44" s="1" t="s">
        <v>26</v>
      </c>
      <c r="D44" s="1" t="s">
        <v>3</v>
      </c>
      <c r="E44" s="1" t="s">
        <v>3</v>
      </c>
      <c r="F44" s="1" t="s">
        <v>26</v>
      </c>
      <c r="G44" s="1" t="s">
        <v>26</v>
      </c>
      <c r="H44" s="1" t="s">
        <v>26</v>
      </c>
      <c r="J44" s="2"/>
    </row>
    <row r="45" spans="1:10">
      <c r="A45" s="1" t="s">
        <v>77</v>
      </c>
      <c r="B45" s="1" t="s">
        <v>34</v>
      </c>
      <c r="C45" s="1" t="s">
        <v>26</v>
      </c>
      <c r="D45" s="1" t="s">
        <v>26</v>
      </c>
      <c r="E45" s="1" t="s">
        <v>26</v>
      </c>
      <c r="F45" s="1" t="s">
        <v>26</v>
      </c>
      <c r="G45" s="1" t="s">
        <v>26</v>
      </c>
      <c r="H45" s="1" t="s">
        <v>26</v>
      </c>
      <c r="J45" s="2"/>
    </row>
    <row r="46" spans="1:10">
      <c r="A46" s="1" t="s">
        <v>78</v>
      </c>
      <c r="B46" s="1" t="s">
        <v>3</v>
      </c>
      <c r="C46" s="1" t="s">
        <v>26</v>
      </c>
      <c r="D46" s="1" t="s">
        <v>79</v>
      </c>
      <c r="E46" s="1" t="s">
        <v>26</v>
      </c>
      <c r="F46" s="1" t="s">
        <v>26</v>
      </c>
      <c r="G46" s="1" t="s">
        <v>26</v>
      </c>
      <c r="H46" s="1" t="s">
        <v>21</v>
      </c>
      <c r="J46" s="2"/>
    </row>
    <row r="47" spans="1:10">
      <c r="A47" s="1" t="s">
        <v>80</v>
      </c>
      <c r="B47" s="1" t="s">
        <v>81</v>
      </c>
      <c r="C47" s="1" t="s">
        <v>81</v>
      </c>
      <c r="D47" s="1" t="s">
        <v>81</v>
      </c>
      <c r="E47" s="1" t="s">
        <v>81</v>
      </c>
      <c r="F47" s="1" t="s">
        <v>81</v>
      </c>
      <c r="G47" s="1" t="s">
        <v>81</v>
      </c>
      <c r="H47" s="1" t="s">
        <v>81</v>
      </c>
      <c r="J47" s="2"/>
    </row>
    <row r="48" spans="1:10">
      <c r="A48" s="1" t="s">
        <v>82</v>
      </c>
      <c r="B48" s="1" t="s">
        <v>26</v>
      </c>
      <c r="C48" s="1" t="s">
        <v>26</v>
      </c>
      <c r="D48" s="1" t="s">
        <v>3</v>
      </c>
      <c r="E48" s="1" t="s">
        <v>26</v>
      </c>
      <c r="F48" s="1" t="s">
        <v>81</v>
      </c>
      <c r="G48" s="1" t="s">
        <v>3</v>
      </c>
      <c r="H48" s="1" t="s">
        <v>26</v>
      </c>
      <c r="J48" s="2"/>
    </row>
    <row r="49" spans="1:10">
      <c r="A49" s="1" t="s">
        <v>83</v>
      </c>
      <c r="B49" s="1" t="s">
        <v>3</v>
      </c>
      <c r="C49" s="1" t="s">
        <v>3</v>
      </c>
      <c r="D49" s="1" t="s">
        <v>3</v>
      </c>
      <c r="E49" s="1" t="s">
        <v>3</v>
      </c>
      <c r="F49" s="1" t="s">
        <v>3</v>
      </c>
      <c r="G49" s="1" t="s">
        <v>3</v>
      </c>
      <c r="H49" s="1" t="s">
        <v>3</v>
      </c>
      <c r="J49" s="2"/>
    </row>
    <row r="50" spans="1:10">
      <c r="A50" s="1" t="s">
        <v>84</v>
      </c>
      <c r="B50" s="1" t="s">
        <v>3</v>
      </c>
      <c r="C50" s="1" t="s">
        <v>21</v>
      </c>
      <c r="D50" s="1" t="s">
        <v>26</v>
      </c>
      <c r="E50" s="1" t="s">
        <v>26</v>
      </c>
      <c r="F50" s="1" t="s">
        <v>3</v>
      </c>
      <c r="G50" s="1" t="s">
        <v>26</v>
      </c>
      <c r="H50" s="1" t="s">
        <v>26</v>
      </c>
      <c r="J50" s="2"/>
    </row>
    <row r="51" spans="1:10">
      <c r="A51" s="1" t="s">
        <v>85</v>
      </c>
      <c r="B51" s="1" t="s">
        <v>26</v>
      </c>
      <c r="C51" s="1" t="s">
        <v>26</v>
      </c>
      <c r="D51" s="1" t="s">
        <v>26</v>
      </c>
      <c r="E51" s="1" t="s">
        <v>26</v>
      </c>
      <c r="F51" s="1" t="s">
        <v>26</v>
      </c>
      <c r="G51" s="1" t="s">
        <v>26</v>
      </c>
      <c r="H51" s="1" t="s">
        <v>26</v>
      </c>
      <c r="J51" s="2"/>
    </row>
    <row r="52" spans="1:10">
      <c r="A52" s="1" t="s">
        <v>86</v>
      </c>
      <c r="B52" s="1" t="s">
        <v>3</v>
      </c>
      <c r="C52" s="1" t="s">
        <v>3</v>
      </c>
      <c r="D52" s="1" t="s">
        <v>3</v>
      </c>
      <c r="E52" s="1" t="s">
        <v>3</v>
      </c>
      <c r="F52" s="1" t="s">
        <v>3</v>
      </c>
      <c r="G52" s="1" t="s">
        <v>3</v>
      </c>
      <c r="H52" s="1" t="s">
        <v>3</v>
      </c>
      <c r="J52" s="2"/>
    </row>
    <row r="53" spans="1:10">
      <c r="A53" s="1" t="s">
        <v>87</v>
      </c>
      <c r="B53" s="1" t="s">
        <v>25</v>
      </c>
      <c r="C53" s="1" t="s">
        <v>25</v>
      </c>
      <c r="D53" s="1" t="s">
        <v>33</v>
      </c>
      <c r="E53" s="1" t="s">
        <v>25</v>
      </c>
      <c r="F53" s="1" t="s">
        <v>25</v>
      </c>
      <c r="G53" s="1" t="s">
        <v>33</v>
      </c>
      <c r="H53" s="1" t="s">
        <v>25</v>
      </c>
      <c r="J53" s="2"/>
    </row>
    <row r="54" spans="1:10">
      <c r="A54" s="1" t="s">
        <v>88</v>
      </c>
      <c r="B54" s="1" t="s">
        <v>33</v>
      </c>
      <c r="C54" s="1" t="s">
        <v>33</v>
      </c>
      <c r="D54" s="1" t="s">
        <v>33</v>
      </c>
      <c r="E54" s="1" t="s">
        <v>33</v>
      </c>
      <c r="F54" s="1" t="s">
        <v>33</v>
      </c>
      <c r="G54" s="1" t="s">
        <v>33</v>
      </c>
      <c r="H54" s="1" t="s">
        <v>26</v>
      </c>
      <c r="J54" s="2"/>
    </row>
    <row r="55" spans="1:10">
      <c r="A55" s="1" t="s">
        <v>89</v>
      </c>
      <c r="B55" s="1" t="s">
        <v>81</v>
      </c>
      <c r="C55" s="1" t="s">
        <v>26</v>
      </c>
      <c r="D55" s="1" t="s">
        <v>33</v>
      </c>
      <c r="E55" s="1" t="s">
        <v>26</v>
      </c>
      <c r="F55" s="1" t="s">
        <v>33</v>
      </c>
      <c r="G55" s="1" t="s">
        <v>25</v>
      </c>
      <c r="H55" s="1" t="s">
        <v>3</v>
      </c>
      <c r="J55" s="2"/>
    </row>
    <row r="56" spans="1:10">
      <c r="A56" s="1" t="s">
        <v>90</v>
      </c>
      <c r="B56" s="1" t="s">
        <v>26</v>
      </c>
      <c r="C56" s="1" t="s">
        <v>26</v>
      </c>
      <c r="D56" s="1" t="s">
        <v>3</v>
      </c>
      <c r="E56" s="1" t="s">
        <v>26</v>
      </c>
      <c r="F56" s="1" t="s">
        <v>26</v>
      </c>
      <c r="G56" s="1" t="s">
        <v>26</v>
      </c>
      <c r="H56" s="1" t="s">
        <v>26</v>
      </c>
      <c r="J56" s="2"/>
    </row>
    <row r="57" spans="1:10">
      <c r="A57" s="1" t="s">
        <v>91</v>
      </c>
      <c r="B57" s="1" t="s">
        <v>25</v>
      </c>
      <c r="C57" s="1" t="s">
        <v>25</v>
      </c>
      <c r="D57" s="1" t="s">
        <v>25</v>
      </c>
      <c r="E57" s="1" t="s">
        <v>25</v>
      </c>
      <c r="F57" s="1" t="s">
        <v>25</v>
      </c>
      <c r="G57" s="1" t="s">
        <v>25</v>
      </c>
      <c r="H57" s="1" t="s">
        <v>25</v>
      </c>
      <c r="J57" s="2"/>
    </row>
    <row r="58" spans="1:10">
      <c r="A58" s="1" t="s">
        <v>92</v>
      </c>
      <c r="B58" s="1" t="s">
        <v>3</v>
      </c>
      <c r="C58" s="1" t="s">
        <v>3</v>
      </c>
      <c r="D58" s="1" t="s">
        <v>3</v>
      </c>
      <c r="E58" s="1" t="s">
        <v>3</v>
      </c>
      <c r="F58" s="1" t="s">
        <v>3</v>
      </c>
      <c r="G58" s="1" t="s">
        <v>3</v>
      </c>
      <c r="H58" s="1" t="s">
        <v>3</v>
      </c>
      <c r="J58" s="2"/>
    </row>
    <row r="59" spans="1:10">
      <c r="A59" s="1" t="s">
        <v>93</v>
      </c>
      <c r="B59" s="1" t="s">
        <v>3</v>
      </c>
      <c r="C59" s="1" t="s">
        <v>3</v>
      </c>
      <c r="D59" s="1" t="s">
        <v>3</v>
      </c>
      <c r="E59" s="1" t="s">
        <v>3</v>
      </c>
      <c r="F59" s="1" t="s">
        <v>3</v>
      </c>
      <c r="G59" s="1" t="s">
        <v>3</v>
      </c>
      <c r="H59" s="1" t="s">
        <v>3</v>
      </c>
      <c r="J59" s="2"/>
    </row>
    <row r="60" spans="1:10">
      <c r="A60" s="1" t="s">
        <v>94</v>
      </c>
      <c r="B60" s="1" t="s">
        <v>25</v>
      </c>
      <c r="C60" s="1" t="s">
        <v>3</v>
      </c>
      <c r="D60" s="1" t="s">
        <v>3</v>
      </c>
      <c r="E60" s="1" t="s">
        <v>3</v>
      </c>
      <c r="F60" s="1" t="s">
        <v>3</v>
      </c>
      <c r="G60" s="1" t="s">
        <v>3</v>
      </c>
      <c r="H60" s="1" t="s">
        <v>3</v>
      </c>
      <c r="J60" s="2"/>
    </row>
    <row r="61" spans="1:10">
      <c r="A61" s="1" t="s">
        <v>95</v>
      </c>
      <c r="B61" s="1" t="s">
        <v>25</v>
      </c>
      <c r="C61" s="1" t="s">
        <v>25</v>
      </c>
      <c r="D61" s="1" t="s">
        <v>33</v>
      </c>
      <c r="E61" s="1" t="s">
        <v>25</v>
      </c>
      <c r="F61" s="1" t="s">
        <v>25</v>
      </c>
      <c r="G61" s="1" t="s">
        <v>33</v>
      </c>
      <c r="H61" s="1" t="s">
        <v>26</v>
      </c>
      <c r="J61" s="2"/>
    </row>
    <row r="62" spans="1:10">
      <c r="A62" s="1" t="s">
        <v>96</v>
      </c>
      <c r="B62" s="1" t="s">
        <v>25</v>
      </c>
      <c r="C62" s="1" t="s">
        <v>33</v>
      </c>
      <c r="D62" s="1" t="s">
        <v>25</v>
      </c>
      <c r="E62" s="1" t="s">
        <v>25</v>
      </c>
      <c r="F62" s="1" t="s">
        <v>26</v>
      </c>
      <c r="G62" s="1" t="s">
        <v>25</v>
      </c>
      <c r="H62" s="1" t="s">
        <v>26</v>
      </c>
      <c r="J62" s="2"/>
    </row>
    <row r="63" spans="1:10">
      <c r="A63" s="1" t="s">
        <v>97</v>
      </c>
      <c r="B63" s="1" t="s">
        <v>3</v>
      </c>
      <c r="C63" s="1" t="s">
        <v>3</v>
      </c>
      <c r="D63" s="1" t="s">
        <v>3</v>
      </c>
      <c r="E63" s="1" t="s">
        <v>3</v>
      </c>
      <c r="F63" s="1" t="s">
        <v>3</v>
      </c>
      <c r="G63" s="1" t="s">
        <v>3</v>
      </c>
      <c r="H63" s="1" t="s">
        <v>3</v>
      </c>
      <c r="J63" s="2"/>
    </row>
    <row r="64" spans="1:10">
      <c r="A64" s="1" t="s">
        <v>98</v>
      </c>
      <c r="B64" s="1" t="s">
        <v>25</v>
      </c>
      <c r="C64" s="1" t="s">
        <v>25</v>
      </c>
      <c r="D64" s="1" t="s">
        <v>25</v>
      </c>
      <c r="E64" s="1" t="s">
        <v>25</v>
      </c>
      <c r="F64" s="1" t="s">
        <v>25</v>
      </c>
      <c r="G64" s="1" t="s">
        <v>33</v>
      </c>
      <c r="H64" s="1" t="s">
        <v>33</v>
      </c>
      <c r="J64" s="2"/>
    </row>
    <row r="65" spans="1:10">
      <c r="A65" s="1" t="s">
        <v>99</v>
      </c>
      <c r="B65" s="1" t="s">
        <v>33</v>
      </c>
      <c r="C65" s="1" t="s">
        <v>25</v>
      </c>
      <c r="D65" s="1" t="s">
        <v>100</v>
      </c>
      <c r="E65" s="1" t="s">
        <v>3</v>
      </c>
      <c r="F65" s="1" t="s">
        <v>25</v>
      </c>
      <c r="G65" s="1" t="s">
        <v>26</v>
      </c>
      <c r="H65" s="1" t="s">
        <v>100</v>
      </c>
      <c r="J65" s="2"/>
    </row>
    <row r="66" spans="1:10">
      <c r="A66" s="1" t="s">
        <v>101</v>
      </c>
      <c r="B66" s="1" t="s">
        <v>26</v>
      </c>
      <c r="C66" s="1" t="s">
        <v>26</v>
      </c>
      <c r="D66" s="1" t="s">
        <v>3</v>
      </c>
      <c r="E66" s="1" t="s">
        <v>25</v>
      </c>
      <c r="F66" s="1" t="s">
        <v>3</v>
      </c>
      <c r="G66" s="1" t="s">
        <v>3</v>
      </c>
      <c r="H66" s="1" t="s">
        <v>26</v>
      </c>
      <c r="J66" s="2"/>
    </row>
    <row r="67" spans="1:10">
      <c r="A67" s="1" t="s">
        <v>102</v>
      </c>
      <c r="B67" s="1" t="s">
        <v>21</v>
      </c>
      <c r="C67" s="1" t="s">
        <v>33</v>
      </c>
      <c r="D67" s="1" t="s">
        <v>100</v>
      </c>
      <c r="E67" s="1" t="s">
        <v>100</v>
      </c>
      <c r="F67" s="1" t="s">
        <v>26</v>
      </c>
      <c r="G67" s="1" t="s">
        <v>26</v>
      </c>
      <c r="H67" s="1" t="s">
        <v>26</v>
      </c>
      <c r="J67" s="2"/>
    </row>
    <row r="68" spans="1:10">
      <c r="A68" s="1" t="s">
        <v>103</v>
      </c>
      <c r="B68" s="1" t="s">
        <v>3</v>
      </c>
      <c r="C68" s="1" t="s">
        <v>3</v>
      </c>
      <c r="D68" s="1" t="s">
        <v>21</v>
      </c>
      <c r="E68" s="1" t="s">
        <v>3</v>
      </c>
      <c r="F68" s="1" t="s">
        <v>3</v>
      </c>
      <c r="G68" s="1" t="s">
        <v>3</v>
      </c>
      <c r="H68" s="1" t="s">
        <v>3</v>
      </c>
      <c r="J68" s="2"/>
    </row>
    <row r="69" spans="1:10">
      <c r="A69" s="1" t="s">
        <v>104</v>
      </c>
      <c r="B69" s="1" t="s">
        <v>25</v>
      </c>
      <c r="C69" s="1" t="s">
        <v>26</v>
      </c>
      <c r="D69" s="1" t="s">
        <v>25</v>
      </c>
      <c r="E69" s="1" t="s">
        <v>26</v>
      </c>
      <c r="F69" s="1" t="s">
        <v>26</v>
      </c>
      <c r="G69" s="1" t="s">
        <v>3</v>
      </c>
      <c r="H69" s="1" t="s">
        <v>25</v>
      </c>
      <c r="J69" s="2"/>
    </row>
    <row r="70" spans="1:10">
      <c r="A70" s="1" t="s">
        <v>105</v>
      </c>
      <c r="B70" s="1" t="s">
        <v>34</v>
      </c>
      <c r="C70" s="1" t="s">
        <v>25</v>
      </c>
      <c r="D70" s="1" t="s">
        <v>25</v>
      </c>
      <c r="E70" s="1" t="s">
        <v>25</v>
      </c>
      <c r="F70" s="1" t="s">
        <v>25</v>
      </c>
      <c r="G70" s="1" t="s">
        <v>26</v>
      </c>
      <c r="H70" s="1" t="s">
        <v>25</v>
      </c>
      <c r="J70" s="2"/>
    </row>
    <row r="71" spans="1:10">
      <c r="A71" s="1" t="s">
        <v>106</v>
      </c>
      <c r="B71" s="1" t="s">
        <v>3</v>
      </c>
      <c r="C71" s="1" t="s">
        <v>3</v>
      </c>
      <c r="D71" s="1" t="s">
        <v>3</v>
      </c>
      <c r="E71" s="1" t="s">
        <v>3</v>
      </c>
      <c r="F71" s="1" t="s">
        <v>3</v>
      </c>
      <c r="G71" s="1" t="s">
        <v>3</v>
      </c>
      <c r="H71" s="1" t="s">
        <v>3</v>
      </c>
      <c r="J71" s="2"/>
    </row>
    <row r="72" spans="1:10">
      <c r="A72" s="1" t="s">
        <v>107</v>
      </c>
      <c r="B72" s="1" t="s">
        <v>25</v>
      </c>
      <c r="C72" s="1" t="s">
        <v>25</v>
      </c>
      <c r="D72" s="1" t="s">
        <v>33</v>
      </c>
      <c r="E72" s="1" t="s">
        <v>25</v>
      </c>
      <c r="F72" s="1" t="s">
        <v>3</v>
      </c>
      <c r="G72" s="1" t="s">
        <v>3</v>
      </c>
      <c r="H72" s="1" t="s">
        <v>3</v>
      </c>
      <c r="J72" s="2"/>
    </row>
    <row r="73" spans="1:10">
      <c r="A73" s="1" t="s">
        <v>108</v>
      </c>
      <c r="B73" s="1" t="s">
        <v>109</v>
      </c>
      <c r="C73" s="1" t="s">
        <v>109</v>
      </c>
      <c r="D73" s="1" t="s">
        <v>25</v>
      </c>
      <c r="E73" s="1" t="s">
        <v>26</v>
      </c>
      <c r="F73" s="1" t="s">
        <v>25</v>
      </c>
      <c r="G73" s="1" t="s">
        <v>26</v>
      </c>
      <c r="H73" s="1" t="s">
        <v>25</v>
      </c>
      <c r="J73" s="2"/>
    </row>
    <row r="74" spans="1:10">
      <c r="A74" s="1" t="s">
        <v>110</v>
      </c>
      <c r="B74" s="1" t="s">
        <v>3</v>
      </c>
      <c r="C74" s="1" t="s">
        <v>3</v>
      </c>
      <c r="D74" s="1" t="s">
        <v>109</v>
      </c>
      <c r="E74" s="1" t="s">
        <v>34</v>
      </c>
      <c r="F74" s="1" t="s">
        <v>25</v>
      </c>
      <c r="G74" s="1" t="s">
        <v>3</v>
      </c>
      <c r="H74" s="1" t="s">
        <v>26</v>
      </c>
      <c r="J74" s="2"/>
    </row>
    <row r="75" spans="1:10">
      <c r="A75" s="1" t="s">
        <v>111</v>
      </c>
      <c r="B75" s="1" t="s">
        <v>25</v>
      </c>
      <c r="C75" s="1" t="s">
        <v>25</v>
      </c>
      <c r="D75" s="1" t="s">
        <v>25</v>
      </c>
      <c r="E75" s="1" t="s">
        <v>25</v>
      </c>
      <c r="F75" s="1" t="s">
        <v>25</v>
      </c>
      <c r="G75" s="1" t="s">
        <v>26</v>
      </c>
      <c r="H75" s="1" t="s">
        <v>26</v>
      </c>
      <c r="J75" s="2"/>
    </row>
    <row r="76" spans="1:10">
      <c r="A76" s="1" t="s">
        <v>112</v>
      </c>
      <c r="B76" s="1" t="s">
        <v>3</v>
      </c>
      <c r="C76" s="1" t="s">
        <v>3</v>
      </c>
      <c r="D76" s="1" t="s">
        <v>3</v>
      </c>
      <c r="E76" s="1" t="s">
        <v>25</v>
      </c>
      <c r="F76" s="1" t="s">
        <v>25</v>
      </c>
      <c r="G76" s="1" t="s">
        <v>25</v>
      </c>
      <c r="H76" s="1" t="s">
        <v>33</v>
      </c>
      <c r="J76" s="2"/>
    </row>
    <row r="77" spans="1:10">
      <c r="A77" s="1" t="s">
        <v>113</v>
      </c>
      <c r="B77" s="1" t="s">
        <v>34</v>
      </c>
      <c r="C77" s="1" t="s">
        <v>34</v>
      </c>
      <c r="D77" s="1" t="s">
        <v>34</v>
      </c>
      <c r="E77" s="1" t="s">
        <v>25</v>
      </c>
      <c r="F77" s="1" t="s">
        <v>26</v>
      </c>
      <c r="G77" s="1" t="s">
        <v>26</v>
      </c>
      <c r="H77" s="1" t="s">
        <v>26</v>
      </c>
      <c r="J77" s="2"/>
    </row>
    <row r="78" spans="1:10">
      <c r="A78" s="1" t="s">
        <v>114</v>
      </c>
      <c r="B78" s="1" t="s">
        <v>79</v>
      </c>
      <c r="C78" s="1" t="s">
        <v>79</v>
      </c>
      <c r="D78" s="1" t="s">
        <v>25</v>
      </c>
      <c r="E78" s="1" t="s">
        <v>25</v>
      </c>
      <c r="F78" s="1" t="s">
        <v>25</v>
      </c>
      <c r="G78" s="1" t="s">
        <v>100</v>
      </c>
      <c r="H78" s="1" t="s">
        <v>100</v>
      </c>
      <c r="J78" s="2"/>
    </row>
    <row r="79" spans="1:10">
      <c r="A79" s="1" t="s">
        <v>115</v>
      </c>
      <c r="B79" s="1" t="s">
        <v>79</v>
      </c>
      <c r="C79" s="1" t="s">
        <v>79</v>
      </c>
      <c r="D79" s="1" t="s">
        <v>81</v>
      </c>
      <c r="E79" s="1" t="s">
        <v>100</v>
      </c>
      <c r="F79" s="1" t="s">
        <v>100</v>
      </c>
      <c r="G79" s="1" t="s">
        <v>25</v>
      </c>
      <c r="H79" s="1" t="s">
        <v>100</v>
      </c>
      <c r="J79" s="2"/>
    </row>
    <row r="80" spans="1:10">
      <c r="A80" s="1" t="s">
        <v>116</v>
      </c>
      <c r="B80" s="1" t="s">
        <v>3</v>
      </c>
      <c r="C80" s="1" t="s">
        <v>3</v>
      </c>
      <c r="D80" s="1" t="s">
        <v>3</v>
      </c>
      <c r="E80" s="1" t="s">
        <v>3</v>
      </c>
      <c r="F80" s="1" t="s">
        <v>3</v>
      </c>
      <c r="G80" s="1" t="s">
        <v>3</v>
      </c>
      <c r="H80" s="1" t="s">
        <v>3</v>
      </c>
      <c r="J80" s="2"/>
    </row>
    <row r="81" spans="1:10">
      <c r="A81" s="1" t="s">
        <v>117</v>
      </c>
      <c r="B81" s="1" t="s">
        <v>25</v>
      </c>
      <c r="C81" s="1" t="s">
        <v>25</v>
      </c>
      <c r="D81" s="1" t="s">
        <v>3</v>
      </c>
      <c r="E81" s="1" t="s">
        <v>26</v>
      </c>
      <c r="F81" s="1" t="s">
        <v>3</v>
      </c>
      <c r="G81" s="1" t="s">
        <v>26</v>
      </c>
      <c r="H81" s="1" t="s">
        <v>25</v>
      </c>
      <c r="J81" s="2"/>
    </row>
    <row r="82" spans="1:10">
      <c r="A82" s="1" t="s">
        <v>118</v>
      </c>
      <c r="B82" s="1" t="s">
        <v>25</v>
      </c>
      <c r="C82" s="1" t="s">
        <v>25</v>
      </c>
      <c r="D82" s="1" t="s">
        <v>3</v>
      </c>
      <c r="E82" s="1" t="s">
        <v>26</v>
      </c>
      <c r="F82" s="1" t="s">
        <v>26</v>
      </c>
      <c r="G82" s="1" t="s">
        <v>3</v>
      </c>
      <c r="H82" s="1" t="s">
        <v>3</v>
      </c>
      <c r="J82" s="2"/>
    </row>
    <row r="83" spans="1:10">
      <c r="A83" s="1" t="s">
        <v>119</v>
      </c>
      <c r="B83" s="1" t="s">
        <v>3</v>
      </c>
      <c r="C83" s="1" t="s">
        <v>3</v>
      </c>
      <c r="D83" s="1" t="s">
        <v>3</v>
      </c>
      <c r="E83" s="1" t="s">
        <v>3</v>
      </c>
      <c r="F83" s="1" t="s">
        <v>3</v>
      </c>
      <c r="G83" s="1" t="s">
        <v>3</v>
      </c>
      <c r="H83" s="1" t="s">
        <v>3</v>
      </c>
      <c r="J83" s="2"/>
    </row>
    <row r="84" spans="1:10">
      <c r="A84" s="1" t="s">
        <v>120</v>
      </c>
      <c r="B84" s="1" t="s">
        <v>25</v>
      </c>
      <c r="C84" s="1" t="s">
        <v>25</v>
      </c>
      <c r="D84" s="1" t="s">
        <v>33</v>
      </c>
      <c r="E84" s="1" t="s">
        <v>33</v>
      </c>
      <c r="F84" s="1" t="s">
        <v>25</v>
      </c>
      <c r="G84" s="1" t="s">
        <v>3</v>
      </c>
      <c r="H84" s="1" t="s">
        <v>3</v>
      </c>
      <c r="J84" s="2"/>
    </row>
    <row r="85" spans="1:10">
      <c r="A85" s="1" t="s">
        <v>121</v>
      </c>
      <c r="B85" s="1" t="s">
        <v>3</v>
      </c>
      <c r="C85" s="1" t="s">
        <v>3</v>
      </c>
      <c r="D85" s="1" t="s">
        <v>3</v>
      </c>
      <c r="E85" s="1" t="s">
        <v>3</v>
      </c>
      <c r="F85" s="1" t="s">
        <v>3</v>
      </c>
      <c r="G85" s="1" t="s">
        <v>3</v>
      </c>
      <c r="H85" s="1" t="s">
        <v>3</v>
      </c>
      <c r="J85" s="2"/>
    </row>
    <row r="86" spans="1:10">
      <c r="A86" s="1" t="s">
        <v>122</v>
      </c>
      <c r="B86" s="1" t="s">
        <v>25</v>
      </c>
      <c r="C86" s="1" t="s">
        <v>25</v>
      </c>
      <c r="D86" s="1" t="s">
        <v>25</v>
      </c>
      <c r="E86" s="1" t="s">
        <v>25</v>
      </c>
      <c r="F86" s="1" t="s">
        <v>25</v>
      </c>
      <c r="G86" s="1" t="s">
        <v>25</v>
      </c>
      <c r="H86" s="1" t="s">
        <v>100</v>
      </c>
      <c r="J86" s="2"/>
    </row>
    <row r="87" spans="1:10">
      <c r="A87" s="1" t="s">
        <v>123</v>
      </c>
      <c r="B87" s="1" t="s">
        <v>25</v>
      </c>
      <c r="C87" s="1" t="s">
        <v>25</v>
      </c>
      <c r="D87" s="1" t="s">
        <v>25</v>
      </c>
      <c r="E87" s="1" t="s">
        <v>25</v>
      </c>
      <c r="F87" s="1" t="s">
        <v>25</v>
      </c>
      <c r="G87" s="1" t="s">
        <v>3</v>
      </c>
      <c r="H87" s="1" t="s">
        <v>3</v>
      </c>
      <c r="J87" s="2"/>
    </row>
    <row r="88" spans="1:10">
      <c r="A88" s="1" t="s">
        <v>124</v>
      </c>
      <c r="B88" s="1" t="s">
        <v>25</v>
      </c>
      <c r="C88" s="1" t="s">
        <v>3</v>
      </c>
      <c r="D88" s="1" t="s">
        <v>3</v>
      </c>
      <c r="E88" s="1" t="s">
        <v>3</v>
      </c>
      <c r="F88" s="1" t="s">
        <v>3</v>
      </c>
      <c r="G88" s="1" t="s">
        <v>3</v>
      </c>
      <c r="H88" s="1" t="s">
        <v>3</v>
      </c>
      <c r="J88" s="2"/>
    </row>
    <row r="89" spans="1:10">
      <c r="A89" s="1" t="s">
        <v>125</v>
      </c>
      <c r="B89" s="1" t="s">
        <v>3</v>
      </c>
      <c r="C89" s="1" t="s">
        <v>3</v>
      </c>
      <c r="D89" s="1" t="s">
        <v>3</v>
      </c>
      <c r="E89" s="1" t="s">
        <v>3</v>
      </c>
      <c r="F89" s="1" t="s">
        <v>3</v>
      </c>
      <c r="G89" s="1" t="s">
        <v>3</v>
      </c>
      <c r="H89" s="1" t="s">
        <v>3</v>
      </c>
      <c r="J89" s="2"/>
    </row>
    <row r="90" spans="1:10">
      <c r="A90" s="1" t="s">
        <v>126</v>
      </c>
      <c r="B90" s="1" t="s">
        <v>3</v>
      </c>
      <c r="C90" s="1" t="s">
        <v>33</v>
      </c>
      <c r="D90" s="1" t="s">
        <v>3</v>
      </c>
      <c r="E90" s="1" t="s">
        <v>3</v>
      </c>
      <c r="F90" s="1" t="s">
        <v>3</v>
      </c>
      <c r="G90" s="1" t="s">
        <v>3</v>
      </c>
      <c r="H90" s="1" t="s">
        <v>3</v>
      </c>
      <c r="J90" s="2"/>
    </row>
    <row r="91" spans="1:10">
      <c r="A91" s="1" t="s">
        <v>127</v>
      </c>
      <c r="B91" s="1" t="s">
        <v>25</v>
      </c>
      <c r="C91" s="1" t="s">
        <v>25</v>
      </c>
      <c r="D91" s="1" t="s">
        <v>25</v>
      </c>
      <c r="E91" s="1" t="s">
        <v>3</v>
      </c>
      <c r="F91" s="1" t="s">
        <v>3</v>
      </c>
      <c r="G91" s="1" t="s">
        <v>26</v>
      </c>
      <c r="H91" s="1" t="s">
        <v>3</v>
      </c>
      <c r="J91" s="2"/>
    </row>
    <row r="92" spans="1:10">
      <c r="A92" s="1" t="s">
        <v>128</v>
      </c>
      <c r="B92" s="1" t="s">
        <v>25</v>
      </c>
      <c r="C92" s="1" t="s">
        <v>25</v>
      </c>
      <c r="D92" s="1" t="s">
        <v>25</v>
      </c>
      <c r="E92" s="1" t="s">
        <v>25</v>
      </c>
      <c r="F92" s="1" t="s">
        <v>25</v>
      </c>
      <c r="G92" s="1" t="s">
        <v>25</v>
      </c>
      <c r="H92" s="1" t="s">
        <v>3</v>
      </c>
      <c r="J92" s="2"/>
    </row>
    <row r="93" spans="1:10">
      <c r="A93" s="13" t="s">
        <v>129</v>
      </c>
      <c r="B93" s="13" t="s">
        <v>3</v>
      </c>
      <c r="C93" s="13" t="s">
        <v>3</v>
      </c>
      <c r="D93" s="13" t="s">
        <v>3</v>
      </c>
      <c r="E93" s="13" t="s">
        <v>3</v>
      </c>
      <c r="F93" s="13" t="s">
        <v>3</v>
      </c>
      <c r="G93" s="13" t="s">
        <v>26</v>
      </c>
      <c r="H93" s="13" t="s">
        <v>3</v>
      </c>
      <c r="J93" s="2"/>
    </row>
    <row r="94" spans="1:10">
      <c r="A94" s="13" t="s">
        <v>130</v>
      </c>
      <c r="B94" s="13" t="s">
        <v>3</v>
      </c>
      <c r="C94" s="13" t="s">
        <v>3</v>
      </c>
      <c r="D94" s="13" t="s">
        <v>3</v>
      </c>
      <c r="E94" s="13" t="s">
        <v>26</v>
      </c>
      <c r="F94" s="13" t="s">
        <v>3</v>
      </c>
      <c r="G94" s="13" t="s">
        <v>3</v>
      </c>
      <c r="H94" s="13" t="s">
        <v>26</v>
      </c>
      <c r="J94" s="2"/>
    </row>
    <row r="95" spans="1:10">
      <c r="A95" s="13" t="s">
        <v>131</v>
      </c>
      <c r="B95" s="13" t="s">
        <v>3</v>
      </c>
      <c r="C95" s="13" t="s">
        <v>3</v>
      </c>
      <c r="D95" s="13" t="s">
        <v>3</v>
      </c>
      <c r="E95" s="13" t="s">
        <v>3</v>
      </c>
      <c r="F95" s="13" t="s">
        <v>26</v>
      </c>
      <c r="G95" s="13" t="s">
        <v>3</v>
      </c>
      <c r="H95" s="13" t="s">
        <v>3</v>
      </c>
      <c r="J95" s="2"/>
    </row>
    <row r="96" spans="1: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row r="739" spans="10:10">
      <c r="J739" s="2"/>
    </row>
    <row r="740" spans="10:10">
      <c r="J740" s="2"/>
    </row>
    <row r="741" spans="10:10">
      <c r="J741" s="2"/>
    </row>
    <row r="742" spans="10:10">
      <c r="J742" s="2"/>
    </row>
    <row r="743" spans="10:10">
      <c r="J743" s="2"/>
    </row>
    <row r="744" spans="10:10">
      <c r="J744" s="2"/>
    </row>
    <row r="745" spans="10:10">
      <c r="J745" s="2"/>
    </row>
    <row r="746" spans="10:10">
      <c r="J746" s="2"/>
    </row>
    <row r="747" spans="10:10">
      <c r="J747" s="2"/>
    </row>
    <row r="748" spans="10:10">
      <c r="J748" s="2"/>
    </row>
    <row r="749" spans="10:10">
      <c r="J749" s="2"/>
    </row>
    <row r="750" spans="10:10">
      <c r="J750" s="2"/>
    </row>
    <row r="751" spans="10:10">
      <c r="J751" s="2"/>
    </row>
    <row r="752" spans="10:10">
      <c r="J752" s="2"/>
    </row>
    <row r="753" spans="10:10">
      <c r="J753" s="2"/>
    </row>
    <row r="754" spans="10:10">
      <c r="J754" s="2"/>
    </row>
    <row r="755" spans="10:10">
      <c r="J755" s="2"/>
    </row>
    <row r="756" spans="10:10">
      <c r="J756" s="2"/>
    </row>
    <row r="757" spans="10:10">
      <c r="J757" s="2"/>
    </row>
    <row r="758" spans="10:10">
      <c r="J758" s="2"/>
    </row>
    <row r="759" spans="10:10">
      <c r="J759" s="2"/>
    </row>
    <row r="760" spans="10:10">
      <c r="J760" s="2"/>
    </row>
    <row r="761" spans="10:10">
      <c r="J761" s="2"/>
    </row>
    <row r="762" spans="10:10">
      <c r="J762" s="2"/>
    </row>
    <row r="763" spans="10:10">
      <c r="J763" s="2"/>
    </row>
    <row r="764" spans="10:10">
      <c r="J764" s="2"/>
    </row>
    <row r="765" spans="10:10">
      <c r="J765" s="2"/>
    </row>
    <row r="766" spans="10:10">
      <c r="J766" s="2"/>
    </row>
    <row r="767" spans="10:10">
      <c r="J767" s="2"/>
    </row>
    <row r="768" spans="10:10">
      <c r="J768" s="2"/>
    </row>
    <row r="769" spans="10:10">
      <c r="J769" s="2"/>
    </row>
    <row r="770" spans="10:10">
      <c r="J770" s="2"/>
    </row>
    <row r="771" spans="10:10">
      <c r="J771" s="2"/>
    </row>
    <row r="772" spans="10:10">
      <c r="J772" s="2"/>
    </row>
    <row r="773" spans="10:10">
      <c r="J773" s="2"/>
    </row>
    <row r="774" spans="10:10">
      <c r="J774" s="2"/>
    </row>
    <row r="775" spans="10:10">
      <c r="J775" s="2"/>
    </row>
    <row r="776" spans="10:10">
      <c r="J776" s="2"/>
    </row>
    <row r="777" spans="10:10">
      <c r="J777" s="2"/>
    </row>
    <row r="778" spans="10:10">
      <c r="J778" s="2"/>
    </row>
    <row r="779" spans="10:10">
      <c r="J779" s="2"/>
    </row>
    <row r="780" spans="10:10">
      <c r="J780" s="2"/>
    </row>
    <row r="781" spans="10:10">
      <c r="J781" s="2"/>
    </row>
    <row r="782" spans="10:10">
      <c r="J782" s="2"/>
    </row>
    <row r="783" spans="10:10">
      <c r="J783" s="2"/>
    </row>
    <row r="784" spans="10:10">
      <c r="J784" s="2"/>
    </row>
    <row r="785" spans="10:10">
      <c r="J785" s="2"/>
    </row>
    <row r="786" spans="10:10">
      <c r="J786" s="2"/>
    </row>
    <row r="787" spans="10:10">
      <c r="J787" s="2"/>
    </row>
    <row r="788" spans="10:10">
      <c r="J788" s="2"/>
    </row>
    <row r="789" spans="10:10">
      <c r="J789" s="2"/>
    </row>
    <row r="790" spans="10:10">
      <c r="J790" s="2"/>
    </row>
    <row r="791" spans="10:10">
      <c r="J791" s="2"/>
    </row>
    <row r="792" spans="10:10">
      <c r="J792" s="2"/>
    </row>
    <row r="793" spans="10:10">
      <c r="J793" s="2"/>
    </row>
    <row r="794" spans="10:10">
      <c r="J794" s="2"/>
    </row>
    <row r="795" spans="10:10">
      <c r="J795" s="2"/>
    </row>
    <row r="796" spans="10:10">
      <c r="J796" s="2"/>
    </row>
    <row r="797" spans="10:10">
      <c r="J797" s="2"/>
    </row>
    <row r="798" spans="10:10">
      <c r="J798" s="2"/>
    </row>
    <row r="799" spans="10:10">
      <c r="J799" s="2"/>
    </row>
    <row r="800" spans="10:10">
      <c r="J800" s="2"/>
    </row>
    <row r="801" spans="10:10">
      <c r="J801" s="2"/>
    </row>
    <row r="802" spans="10:10">
      <c r="J802" s="2"/>
    </row>
    <row r="803" spans="10:10">
      <c r="J803" s="2"/>
    </row>
    <row r="804" spans="10:10">
      <c r="J804" s="2"/>
    </row>
    <row r="805" spans="10:10">
      <c r="J805" s="2"/>
    </row>
    <row r="806" spans="10:10">
      <c r="J806" s="2"/>
    </row>
    <row r="807" spans="10:10">
      <c r="J807" s="2"/>
    </row>
    <row r="808" spans="10:10">
      <c r="J808" s="2"/>
    </row>
    <row r="809" spans="10:10">
      <c r="J809" s="2"/>
    </row>
    <row r="810" spans="10:10">
      <c r="J810" s="2"/>
    </row>
    <row r="811" spans="10:10">
      <c r="J811" s="2"/>
    </row>
    <row r="812" spans="10:10">
      <c r="J812" s="2"/>
    </row>
    <row r="813" spans="10:10">
      <c r="J813" s="2"/>
    </row>
    <row r="814" spans="10:10">
      <c r="J814" s="2"/>
    </row>
    <row r="815" spans="10:10">
      <c r="J815" s="2"/>
    </row>
    <row r="816" spans="10:10">
      <c r="J816" s="2"/>
    </row>
    <row r="817" spans="10:10">
      <c r="J817" s="2"/>
    </row>
    <row r="818" spans="10:10">
      <c r="J818" s="2"/>
    </row>
    <row r="819" spans="10:10">
      <c r="J819" s="2"/>
    </row>
    <row r="820" spans="10:10">
      <c r="J820" s="2"/>
    </row>
    <row r="821" spans="10:10">
      <c r="J821" s="2"/>
    </row>
    <row r="822" spans="10:10">
      <c r="J822" s="2"/>
    </row>
    <row r="823" spans="10:10">
      <c r="J823" s="2"/>
    </row>
    <row r="824" spans="10:10">
      <c r="J824" s="2"/>
    </row>
    <row r="825" spans="10:10">
      <c r="J825" s="2"/>
    </row>
    <row r="826" spans="10:10">
      <c r="J826" s="2"/>
    </row>
    <row r="827" spans="10:10">
      <c r="J827" s="2"/>
    </row>
    <row r="828" spans="10:10">
      <c r="J828" s="2"/>
    </row>
    <row r="829" spans="10:10">
      <c r="J829" s="2"/>
    </row>
    <row r="830" spans="10:10">
      <c r="J830" s="2"/>
    </row>
    <row r="831" spans="10:10">
      <c r="J831" s="2"/>
    </row>
    <row r="832" spans="10:10">
      <c r="J832" s="2"/>
    </row>
    <row r="833" spans="10:10">
      <c r="J833" s="2"/>
    </row>
    <row r="834" spans="10:10">
      <c r="J834" s="2"/>
    </row>
    <row r="835" spans="10:10">
      <c r="J835" s="2"/>
    </row>
    <row r="836" spans="10:10">
      <c r="J836" s="2"/>
    </row>
    <row r="837" spans="10:10">
      <c r="J837" s="2"/>
    </row>
    <row r="838" spans="10:10">
      <c r="J838" s="2"/>
    </row>
    <row r="839" spans="10:10">
      <c r="J839" s="2"/>
    </row>
    <row r="840" spans="10:10">
      <c r="J840" s="2"/>
    </row>
    <row r="841" spans="10:10">
      <c r="J841" s="2"/>
    </row>
    <row r="842" spans="10:10">
      <c r="J842" s="2"/>
    </row>
    <row r="843" spans="10:10">
      <c r="J843" s="2"/>
    </row>
    <row r="844" spans="10:10">
      <c r="J844" s="2"/>
    </row>
    <row r="845" spans="10:10">
      <c r="J845" s="2"/>
    </row>
    <row r="846" spans="10:10">
      <c r="J846" s="2"/>
    </row>
    <row r="847" spans="10:10">
      <c r="J847" s="2"/>
    </row>
    <row r="848" spans="10:10">
      <c r="J848" s="2"/>
    </row>
    <row r="849" spans="10:10">
      <c r="J849" s="2"/>
    </row>
    <row r="850" spans="10:10">
      <c r="J850" s="2"/>
    </row>
    <row r="851" spans="10:10">
      <c r="J851" s="2"/>
    </row>
    <row r="852" spans="10:10">
      <c r="J852" s="2"/>
    </row>
    <row r="853" spans="10:10">
      <c r="J853" s="2"/>
    </row>
    <row r="854" spans="10:10">
      <c r="J854" s="2"/>
    </row>
    <row r="855" spans="10:10">
      <c r="J855" s="2"/>
    </row>
    <row r="856" spans="10:10">
      <c r="J856" s="2"/>
    </row>
    <row r="857" spans="10:10">
      <c r="J857" s="2"/>
    </row>
    <row r="858" spans="10:10">
      <c r="J858" s="2"/>
    </row>
    <row r="859" spans="10:10">
      <c r="J859" s="2"/>
    </row>
    <row r="860" spans="10:10">
      <c r="J860" s="2"/>
    </row>
    <row r="861" spans="10:10">
      <c r="J861" s="2"/>
    </row>
    <row r="862" spans="10:10">
      <c r="J862" s="2"/>
    </row>
    <row r="863" spans="10:10">
      <c r="J863" s="2"/>
    </row>
    <row r="864" spans="10:10">
      <c r="J864" s="2"/>
    </row>
    <row r="865" spans="10:10">
      <c r="J865" s="2"/>
    </row>
    <row r="866" spans="10:10">
      <c r="J866" s="2"/>
    </row>
    <row r="867" spans="10:10">
      <c r="J867" s="2"/>
    </row>
    <row r="868" spans="10:10">
      <c r="J868" s="2"/>
    </row>
    <row r="869" spans="10:10">
      <c r="J869" s="2"/>
    </row>
    <row r="870" spans="10:10">
      <c r="J870" s="2"/>
    </row>
    <row r="871" spans="10:10">
      <c r="J871" s="2"/>
    </row>
    <row r="872" spans="10:10">
      <c r="J872" s="2"/>
    </row>
    <row r="873" spans="10:10">
      <c r="J873" s="2"/>
    </row>
    <row r="874" spans="10:10">
      <c r="J874" s="2"/>
    </row>
    <row r="875" spans="10:10">
      <c r="J875" s="2"/>
    </row>
    <row r="876" spans="10:10">
      <c r="J876" s="2"/>
    </row>
    <row r="877" spans="10:10">
      <c r="J877" s="2"/>
    </row>
    <row r="878" spans="10:10">
      <c r="J878" s="2"/>
    </row>
    <row r="879" spans="10:10">
      <c r="J879" s="2"/>
    </row>
    <row r="880" spans="10:10">
      <c r="J880" s="2"/>
    </row>
    <row r="881" spans="10:10">
      <c r="J881" s="2"/>
    </row>
    <row r="882" spans="10:10">
      <c r="J882" s="2"/>
    </row>
    <row r="883" spans="10:10">
      <c r="J883" s="2"/>
    </row>
    <row r="884" spans="10:10">
      <c r="J884" s="2"/>
    </row>
    <row r="885" spans="10:10">
      <c r="J885" s="2"/>
    </row>
    <row r="886" spans="10:10">
      <c r="J886" s="2"/>
    </row>
    <row r="887" spans="10:10">
      <c r="J887" s="2"/>
    </row>
    <row r="888" spans="10:10">
      <c r="J888" s="2"/>
    </row>
    <row r="889" spans="10:10">
      <c r="J889" s="2"/>
    </row>
    <row r="890" spans="10:10">
      <c r="J890" s="2"/>
    </row>
    <row r="891" spans="10:10">
      <c r="J891" s="2"/>
    </row>
    <row r="892" spans="10:10">
      <c r="J892" s="2"/>
    </row>
    <row r="893" spans="10:10">
      <c r="J893" s="2"/>
    </row>
    <row r="894" spans="10:10">
      <c r="J894" s="2"/>
    </row>
    <row r="895" spans="10:10">
      <c r="J895" s="2"/>
    </row>
    <row r="896" spans="10:10">
      <c r="J896" s="2"/>
    </row>
    <row r="897" spans="10:10">
      <c r="J897" s="2"/>
    </row>
    <row r="898" spans="10:10">
      <c r="J898" s="2"/>
    </row>
    <row r="899" spans="10:10">
      <c r="J899" s="2"/>
    </row>
    <row r="900" spans="10:10">
      <c r="J900" s="2"/>
    </row>
    <row r="901" spans="10:10">
      <c r="J901" s="2"/>
    </row>
    <row r="902" spans="10:10">
      <c r="J902" s="2"/>
    </row>
    <row r="903" spans="10:10">
      <c r="J903" s="2"/>
    </row>
    <row r="904" spans="10:10">
      <c r="J904" s="2"/>
    </row>
    <row r="905" spans="10:10">
      <c r="J905" s="2"/>
    </row>
    <row r="906" spans="10:10">
      <c r="J906" s="2"/>
    </row>
    <row r="907" spans="10:10">
      <c r="J907" s="2"/>
    </row>
    <row r="908" spans="10:10">
      <c r="J908" s="2"/>
    </row>
    <row r="909" spans="10:10">
      <c r="J909" s="2"/>
    </row>
    <row r="910" spans="10:10">
      <c r="J910" s="2"/>
    </row>
    <row r="911" spans="10:10">
      <c r="J911" s="2"/>
    </row>
    <row r="912" spans="10:10">
      <c r="J912" s="2"/>
    </row>
    <row r="913" spans="10:10">
      <c r="J913" s="2"/>
    </row>
    <row r="914" spans="10:10">
      <c r="J914" s="2"/>
    </row>
    <row r="915" spans="10:10">
      <c r="J915" s="2"/>
    </row>
    <row r="916" spans="10:10">
      <c r="J916" s="2"/>
    </row>
    <row r="917" spans="10:10">
      <c r="J917" s="2"/>
    </row>
    <row r="918" spans="10:10">
      <c r="J918" s="2"/>
    </row>
    <row r="919" spans="10:10">
      <c r="J919" s="2"/>
    </row>
    <row r="920" spans="10:10">
      <c r="J920" s="2"/>
    </row>
    <row r="921" spans="10:10">
      <c r="J921" s="2"/>
    </row>
    <row r="922" spans="10:10">
      <c r="J922" s="2"/>
    </row>
    <row r="923" spans="10:10">
      <c r="J923" s="2"/>
    </row>
    <row r="924" spans="10:10">
      <c r="J924" s="2"/>
    </row>
    <row r="925" spans="10:10">
      <c r="J925" s="2"/>
    </row>
    <row r="926" spans="10:10">
      <c r="J926" s="2"/>
    </row>
    <row r="927" spans="10:10">
      <c r="J927" s="2"/>
    </row>
    <row r="928" spans="10:10">
      <c r="J928" s="2"/>
    </row>
    <row r="929" spans="10:10">
      <c r="J929" s="2"/>
    </row>
    <row r="930" spans="10:10">
      <c r="J930" s="2"/>
    </row>
    <row r="931" spans="10:10">
      <c r="J931" s="2"/>
    </row>
    <row r="932" spans="10:10">
      <c r="J932" s="2"/>
    </row>
    <row r="933" spans="10:10">
      <c r="J933" s="2"/>
    </row>
    <row r="934" spans="10:10">
      <c r="J934" s="2"/>
    </row>
    <row r="935" spans="10:10">
      <c r="J935" s="2"/>
    </row>
    <row r="936" spans="10:10">
      <c r="J936" s="2"/>
    </row>
    <row r="937" spans="10:10">
      <c r="J937" s="2"/>
    </row>
    <row r="938" spans="10:10">
      <c r="J938" s="2"/>
    </row>
    <row r="939" spans="10:10">
      <c r="J939" s="2"/>
    </row>
    <row r="940" spans="10:10">
      <c r="J940" s="2"/>
    </row>
    <row r="941" spans="10:10">
      <c r="J941" s="2"/>
    </row>
    <row r="942" spans="10:10">
      <c r="J942" s="2"/>
    </row>
    <row r="943" spans="10:10">
      <c r="J943" s="2"/>
    </row>
    <row r="944" spans="10:10">
      <c r="J944" s="2"/>
    </row>
    <row r="945" spans="10:10">
      <c r="J945" s="2"/>
    </row>
    <row r="946" spans="10:10">
      <c r="J946" s="2"/>
    </row>
    <row r="947" spans="10:10">
      <c r="J947" s="2"/>
    </row>
    <row r="948" spans="10:10">
      <c r="J948" s="2"/>
    </row>
    <row r="949" spans="10:10">
      <c r="J949" s="2"/>
    </row>
    <row r="950" spans="10:10">
      <c r="J950" s="2"/>
    </row>
    <row r="951" spans="10:10">
      <c r="J951" s="2"/>
    </row>
    <row r="952" spans="10:10">
      <c r="J952" s="2"/>
    </row>
    <row r="953" spans="10:10">
      <c r="J953" s="2"/>
    </row>
    <row r="954" spans="10:10">
      <c r="J954" s="2"/>
    </row>
    <row r="955" spans="10:10">
      <c r="J955" s="2"/>
    </row>
    <row r="956" spans="10:10">
      <c r="J956" s="2"/>
    </row>
    <row r="957" spans="10:10">
      <c r="J957" s="2"/>
    </row>
    <row r="958" spans="10:10">
      <c r="J958" s="2"/>
    </row>
    <row r="959" spans="10:10">
      <c r="J959" s="2"/>
    </row>
    <row r="960" spans="10:10">
      <c r="J960" s="2"/>
    </row>
    <row r="961" spans="10:10">
      <c r="J961" s="2"/>
    </row>
    <row r="962" spans="10:10">
      <c r="J962" s="2"/>
    </row>
    <row r="963" spans="10:10">
      <c r="J963" s="2"/>
    </row>
    <row r="964" spans="10:10">
      <c r="J964" s="2"/>
    </row>
    <row r="965" spans="10:10">
      <c r="J965" s="2"/>
    </row>
    <row r="966" spans="10:10">
      <c r="J966" s="2"/>
    </row>
    <row r="967" spans="10:10">
      <c r="J967" s="2"/>
    </row>
    <row r="968" spans="10:10">
      <c r="J968" s="2"/>
    </row>
    <row r="969" spans="10:10">
      <c r="J969" s="2"/>
    </row>
    <row r="970" spans="10:10">
      <c r="J970" s="2"/>
    </row>
    <row r="971" spans="10:10">
      <c r="J971" s="2"/>
    </row>
    <row r="972" spans="10:10">
      <c r="J972" s="2"/>
    </row>
    <row r="973" spans="10:10">
      <c r="J973" s="2"/>
    </row>
    <row r="974" spans="10:10">
      <c r="J974" s="2"/>
    </row>
    <row r="975" spans="10:10">
      <c r="J975" s="2"/>
    </row>
    <row r="976" spans="10:10">
      <c r="J976" s="2"/>
    </row>
    <row r="977" spans="10:10">
      <c r="J977" s="2"/>
    </row>
    <row r="978" spans="10:10">
      <c r="J978" s="2"/>
    </row>
    <row r="979" spans="10:10">
      <c r="J979" s="2"/>
    </row>
    <row r="980" spans="10:10">
      <c r="J980" s="2"/>
    </row>
    <row r="981" spans="10:10">
      <c r="J981" s="2"/>
    </row>
    <row r="982" spans="10:10">
      <c r="J982" s="2"/>
    </row>
    <row r="983" spans="10:10">
      <c r="J983" s="2"/>
    </row>
    <row r="984" spans="10:10">
      <c r="J984" s="2"/>
    </row>
    <row r="985" spans="10:10">
      <c r="J985" s="2"/>
    </row>
    <row r="986" spans="10:10">
      <c r="J986" s="2"/>
    </row>
    <row r="987" spans="10:10">
      <c r="J987" s="2"/>
    </row>
    <row r="988" spans="10:10">
      <c r="J988" s="2"/>
    </row>
    <row r="989" spans="10:10">
      <c r="J989" s="2"/>
    </row>
    <row r="990" spans="10:10">
      <c r="J990" s="2"/>
    </row>
    <row r="991" spans="10:10">
      <c r="J991" s="2"/>
    </row>
    <row r="992" spans="10:10">
      <c r="J992" s="2"/>
    </row>
    <row r="993" spans="10:10">
      <c r="J993" s="2"/>
    </row>
    <row r="994" spans="10:10">
      <c r="J994" s="2"/>
    </row>
    <row r="995" spans="10:10">
      <c r="J995" s="2"/>
    </row>
    <row r="996" spans="10:10">
      <c r="J996" s="2"/>
    </row>
    <row r="997" spans="10:10">
      <c r="J997" s="2"/>
    </row>
    <row r="998" spans="10:10">
      <c r="J998" s="2"/>
    </row>
    <row r="999" spans="10:10">
      <c r="J999" s="2"/>
    </row>
    <row r="1000" spans="10:10">
      <c r="J1000" s="2"/>
    </row>
    <row r="1001" spans="10:10">
      <c r="J1001" s="2"/>
    </row>
    <row r="1002" spans="10:10">
      <c r="J1002" s="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T1001"/>
  <sheetViews>
    <sheetView workbookViewId="0">
      <pane xSplit="7" ySplit="1" topLeftCell="T35" activePane="bottomRight" state="frozen"/>
      <selection pane="topRight" activeCell="H1" sqref="H1"/>
      <selection pane="bottomLeft" activeCell="A2" sqref="A2"/>
      <selection pane="bottomRight" activeCell="AI51" sqref="AI51"/>
    </sheetView>
    <sheetView tabSelected="1" topLeftCell="A220" workbookViewId="1">
      <pane xSplit="6" topLeftCell="V1" activePane="topRight" state="frozen"/>
      <selection activeCell="A19" sqref="A19"/>
      <selection pane="topRight" activeCell="AI163" sqref="AI163"/>
    </sheetView>
  </sheetViews>
  <sheetFormatPr defaultColWidth="14.42578125" defaultRowHeight="15.75" customHeight="1"/>
  <cols>
    <col min="1" max="1" width="6" customWidth="1"/>
    <col min="2" max="2" width="9.7109375" customWidth="1"/>
    <col min="3" max="3" width="6.85546875" customWidth="1"/>
    <col min="5" max="5" width="27.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12" t="s">
        <v>132</v>
      </c>
      <c r="B1" s="112" t="s">
        <v>133</v>
      </c>
      <c r="C1" s="112" t="s">
        <v>134</v>
      </c>
      <c r="D1" s="112" t="s">
        <v>135</v>
      </c>
      <c r="E1" s="112" t="s">
        <v>136</v>
      </c>
      <c r="F1" s="112" t="s">
        <v>137</v>
      </c>
      <c r="G1" s="112" t="s">
        <v>138</v>
      </c>
      <c r="H1" s="112" t="s">
        <v>139</v>
      </c>
      <c r="I1" s="112" t="s">
        <v>140</v>
      </c>
      <c r="J1" s="112" t="s">
        <v>141</v>
      </c>
      <c r="K1" s="112" t="s">
        <v>142</v>
      </c>
      <c r="L1" s="112" t="s">
        <v>143</v>
      </c>
      <c r="M1" s="112" t="s">
        <v>144</v>
      </c>
      <c r="N1" s="112" t="s">
        <v>145</v>
      </c>
      <c r="O1" s="112" t="s">
        <v>146</v>
      </c>
      <c r="P1" s="112" t="s">
        <v>147</v>
      </c>
      <c r="Q1" s="112" t="s">
        <v>148</v>
      </c>
      <c r="R1" s="112" t="s">
        <v>149</v>
      </c>
      <c r="S1" s="112" t="s">
        <v>150</v>
      </c>
      <c r="T1" s="112" t="s">
        <v>151</v>
      </c>
      <c r="U1" s="112" t="s">
        <v>152</v>
      </c>
      <c r="V1" s="112" t="s">
        <v>153</v>
      </c>
      <c r="W1" s="112" t="s">
        <v>154</v>
      </c>
      <c r="X1" s="112" t="s">
        <v>22</v>
      </c>
      <c r="Y1" s="112" t="s">
        <v>155</v>
      </c>
      <c r="Z1" s="112" t="s">
        <v>156</v>
      </c>
      <c r="AA1" s="112" t="s">
        <v>157</v>
      </c>
      <c r="AB1" s="112" t="s">
        <v>158</v>
      </c>
      <c r="AC1" s="112" t="s">
        <v>159</v>
      </c>
      <c r="AD1" s="112" t="s">
        <v>160</v>
      </c>
      <c r="AE1" s="112" t="s">
        <v>161</v>
      </c>
      <c r="AF1" s="112" t="s">
        <v>162</v>
      </c>
      <c r="AG1" s="112" t="s">
        <v>163</v>
      </c>
      <c r="AH1" s="112" t="s">
        <v>164</v>
      </c>
      <c r="AI1" s="112" t="s">
        <v>165</v>
      </c>
      <c r="AJ1" s="112" t="s">
        <v>166</v>
      </c>
      <c r="AK1" s="112" t="s">
        <v>167</v>
      </c>
      <c r="AL1" s="112" t="s">
        <v>168</v>
      </c>
      <c r="AM1" s="112" t="s">
        <v>169</v>
      </c>
      <c r="AN1" s="113" t="s">
        <v>170</v>
      </c>
      <c r="AO1" s="114" t="s">
        <v>171</v>
      </c>
      <c r="AP1" s="112" t="s">
        <v>172</v>
      </c>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spans="1:72">
      <c r="A2" s="115">
        <v>1</v>
      </c>
      <c r="B2" s="115" t="s">
        <v>174</v>
      </c>
      <c r="C2" s="115" t="s">
        <v>157</v>
      </c>
      <c r="D2" s="115">
        <v>283105270</v>
      </c>
      <c r="E2" s="115" t="s">
        <v>175</v>
      </c>
      <c r="F2" s="115" t="s">
        <v>114</v>
      </c>
      <c r="G2" s="115">
        <v>1</v>
      </c>
      <c r="H2" s="115" t="s">
        <v>22</v>
      </c>
      <c r="I2" s="115"/>
      <c r="J2" s="115" t="s">
        <v>176</v>
      </c>
      <c r="K2" s="115" t="s">
        <v>177</v>
      </c>
      <c r="L2" s="115" t="s">
        <v>178</v>
      </c>
      <c r="M2" s="115"/>
      <c r="N2" s="115"/>
      <c r="O2" s="115">
        <v>0</v>
      </c>
      <c r="P2" s="115">
        <v>3</v>
      </c>
      <c r="Q2" s="115">
        <v>1</v>
      </c>
      <c r="R2" s="115">
        <v>0</v>
      </c>
      <c r="S2" s="115" t="s">
        <v>179</v>
      </c>
      <c r="T2" s="115">
        <v>3</v>
      </c>
      <c r="U2" s="115"/>
      <c r="V2" s="115"/>
      <c r="W2" s="115"/>
      <c r="X2" s="115"/>
      <c r="Y2" s="115"/>
      <c r="Z2" s="115"/>
      <c r="AA2" s="115"/>
      <c r="AB2" s="115"/>
      <c r="AC2" s="115"/>
      <c r="AD2" s="115">
        <v>62</v>
      </c>
      <c r="AE2" s="115">
        <v>28.2</v>
      </c>
      <c r="AF2" s="115">
        <v>300</v>
      </c>
      <c r="AG2" s="115">
        <v>6</v>
      </c>
      <c r="AH2" s="115">
        <v>7</v>
      </c>
      <c r="AI2" s="115">
        <v>6</v>
      </c>
      <c r="AJ2" s="115" t="s">
        <v>180</v>
      </c>
      <c r="AK2" s="115">
        <v>15</v>
      </c>
      <c r="AL2" s="115"/>
      <c r="AM2" s="115"/>
      <c r="AN2" s="116"/>
      <c r="AO2" s="117" t="s">
        <v>157</v>
      </c>
      <c r="AP2" s="115">
        <v>1</v>
      </c>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spans="1:72">
      <c r="A3" s="115">
        <v>11</v>
      </c>
      <c r="B3" s="115" t="s">
        <v>174</v>
      </c>
      <c r="C3" s="115" t="s">
        <v>157</v>
      </c>
      <c r="D3" s="115">
        <v>283105238</v>
      </c>
      <c r="E3" s="115" t="s">
        <v>175</v>
      </c>
      <c r="F3" s="115" t="s">
        <v>114</v>
      </c>
      <c r="G3" s="115">
        <v>1</v>
      </c>
      <c r="H3" s="115" t="s">
        <v>22</v>
      </c>
      <c r="I3" s="115"/>
      <c r="J3" s="115" t="s">
        <v>176</v>
      </c>
      <c r="K3" s="115" t="s">
        <v>186</v>
      </c>
      <c r="L3" s="115" t="s">
        <v>1</v>
      </c>
      <c r="M3" s="115"/>
      <c r="N3" s="115"/>
      <c r="O3" s="115">
        <v>3</v>
      </c>
      <c r="P3" s="115">
        <v>0</v>
      </c>
      <c r="Q3" s="115">
        <v>0</v>
      </c>
      <c r="R3" s="115">
        <v>0</v>
      </c>
      <c r="S3" s="115" t="s">
        <v>179</v>
      </c>
      <c r="T3" s="115">
        <v>3</v>
      </c>
      <c r="U3" s="115"/>
      <c r="V3" s="115"/>
      <c r="W3" s="115"/>
      <c r="X3" s="115"/>
      <c r="Y3" s="115"/>
      <c r="Z3" s="115"/>
      <c r="AA3" s="115"/>
      <c r="AB3" s="115"/>
      <c r="AC3" s="115"/>
      <c r="AD3" s="115">
        <v>65</v>
      </c>
      <c r="AE3" s="115">
        <v>24.2</v>
      </c>
      <c r="AF3" s="115">
        <v>300</v>
      </c>
      <c r="AG3" s="115">
        <v>6</v>
      </c>
      <c r="AH3" s="115">
        <v>7</v>
      </c>
      <c r="AI3" s="115">
        <v>10</v>
      </c>
      <c r="AJ3" s="115" t="s">
        <v>180</v>
      </c>
      <c r="AK3" s="115">
        <v>8</v>
      </c>
      <c r="AL3" s="115"/>
      <c r="AM3" s="115">
        <v>4</v>
      </c>
      <c r="AN3" s="116" t="s">
        <v>201</v>
      </c>
      <c r="AO3" s="117" t="s">
        <v>157</v>
      </c>
      <c r="AP3" s="115">
        <v>1</v>
      </c>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spans="1:72">
      <c r="A4" s="115">
        <v>6</v>
      </c>
      <c r="B4" s="115" t="s">
        <v>216</v>
      </c>
      <c r="C4" s="115" t="s">
        <v>189</v>
      </c>
      <c r="D4" s="115"/>
      <c r="E4" s="115" t="s">
        <v>192</v>
      </c>
      <c r="F4" s="115" t="s">
        <v>37</v>
      </c>
      <c r="G4" s="115">
        <v>2</v>
      </c>
      <c r="H4" s="115" t="s">
        <v>22</v>
      </c>
      <c r="I4" s="115"/>
      <c r="J4" s="115"/>
      <c r="K4" s="115" t="s">
        <v>186</v>
      </c>
      <c r="L4" s="115" t="s">
        <v>22</v>
      </c>
      <c r="M4" s="115"/>
      <c r="N4" s="115"/>
      <c r="O4" s="115"/>
      <c r="P4" s="115"/>
      <c r="Q4" s="115"/>
      <c r="R4" s="115"/>
      <c r="S4" s="115"/>
      <c r="T4" s="115"/>
      <c r="U4" s="115"/>
      <c r="V4" s="115"/>
      <c r="W4" s="115"/>
      <c r="X4" s="115"/>
      <c r="Y4" s="115"/>
      <c r="Z4" s="115"/>
      <c r="AA4" s="115"/>
      <c r="AB4" s="115"/>
      <c r="AC4" s="115"/>
      <c r="AD4" s="115"/>
      <c r="AE4" s="115"/>
      <c r="AF4" s="115"/>
      <c r="AG4" s="115">
        <v>6</v>
      </c>
      <c r="AH4" s="115">
        <v>7</v>
      </c>
      <c r="AI4" s="115">
        <v>10</v>
      </c>
      <c r="AJ4" s="115" t="s">
        <v>180</v>
      </c>
      <c r="AK4" s="115">
        <v>21</v>
      </c>
      <c r="AL4" s="115"/>
      <c r="AM4" s="115">
        <v>4</v>
      </c>
      <c r="AN4" s="116" t="s">
        <v>222</v>
      </c>
      <c r="AO4" s="117" t="s">
        <v>189</v>
      </c>
      <c r="AP4" s="115">
        <v>3</v>
      </c>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spans="1:72">
      <c r="A5" s="115">
        <v>8</v>
      </c>
      <c r="B5" s="115" t="s">
        <v>227</v>
      </c>
      <c r="C5" s="115" t="s">
        <v>179</v>
      </c>
      <c r="D5" s="115">
        <v>172176233</v>
      </c>
      <c r="E5" s="115" t="s">
        <v>175</v>
      </c>
      <c r="F5" s="115" t="s">
        <v>114</v>
      </c>
      <c r="G5" s="115">
        <v>2</v>
      </c>
      <c r="H5" s="115" t="s">
        <v>220</v>
      </c>
      <c r="I5" s="115" t="s">
        <v>155</v>
      </c>
      <c r="J5" s="115" t="s">
        <v>200</v>
      </c>
      <c r="K5" s="115" t="s">
        <v>189</v>
      </c>
      <c r="L5" s="115"/>
      <c r="M5" s="115"/>
      <c r="N5" s="115">
        <v>5</v>
      </c>
      <c r="O5" s="115">
        <v>0</v>
      </c>
      <c r="P5" s="115">
        <v>0</v>
      </c>
      <c r="Q5" s="115">
        <v>0</v>
      </c>
      <c r="R5" s="115">
        <v>1</v>
      </c>
      <c r="S5" s="115" t="s">
        <v>179</v>
      </c>
      <c r="T5" s="115">
        <v>1</v>
      </c>
      <c r="U5" s="115">
        <v>3</v>
      </c>
      <c r="V5" s="115"/>
      <c r="W5" s="115"/>
      <c r="X5" s="115"/>
      <c r="Y5" s="115"/>
      <c r="Z5" s="115"/>
      <c r="AA5" s="115"/>
      <c r="AB5" s="115"/>
      <c r="AC5" s="115"/>
      <c r="AD5" s="115">
        <v>62</v>
      </c>
      <c r="AE5" s="115">
        <v>19.600000000000001</v>
      </c>
      <c r="AF5" s="115">
        <v>300</v>
      </c>
      <c r="AG5" s="115">
        <v>6</v>
      </c>
      <c r="AH5" s="115">
        <v>7</v>
      </c>
      <c r="AI5" s="115">
        <v>10</v>
      </c>
      <c r="AJ5" s="115" t="s">
        <v>180</v>
      </c>
      <c r="AK5" s="115">
        <v>7</v>
      </c>
      <c r="AL5" s="115"/>
      <c r="AM5" s="115">
        <v>1</v>
      </c>
      <c r="AN5" s="116" t="s">
        <v>230</v>
      </c>
      <c r="AO5" s="118" t="s">
        <v>203</v>
      </c>
      <c r="AP5" s="115">
        <v>4</v>
      </c>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spans="1:72">
      <c r="A6" s="115">
        <v>14</v>
      </c>
      <c r="B6" s="115" t="s">
        <v>174</v>
      </c>
      <c r="C6" s="115" t="s">
        <v>179</v>
      </c>
      <c r="D6" s="115">
        <v>135291869</v>
      </c>
      <c r="E6" s="115" t="s">
        <v>181</v>
      </c>
      <c r="F6" s="115" t="s">
        <v>115</v>
      </c>
      <c r="G6" s="115">
        <v>6</v>
      </c>
      <c r="H6" s="115" t="s">
        <v>22</v>
      </c>
      <c r="I6" s="115"/>
      <c r="J6" s="115" t="s">
        <v>188</v>
      </c>
      <c r="K6" s="115" t="s">
        <v>186</v>
      </c>
      <c r="L6" s="115" t="s">
        <v>22</v>
      </c>
      <c r="M6" s="115"/>
      <c r="N6" s="115"/>
      <c r="O6" s="115">
        <v>3</v>
      </c>
      <c r="P6" s="115">
        <v>0</v>
      </c>
      <c r="Q6" s="115">
        <v>1</v>
      </c>
      <c r="R6" s="115">
        <v>0</v>
      </c>
      <c r="S6" s="115" t="s">
        <v>179</v>
      </c>
      <c r="T6" s="115">
        <v>2</v>
      </c>
      <c r="U6" s="115"/>
      <c r="V6" s="115" t="s">
        <v>178</v>
      </c>
      <c r="W6" s="115" t="s">
        <v>178</v>
      </c>
      <c r="X6" s="115"/>
      <c r="Y6" s="115"/>
      <c r="Z6" s="115"/>
      <c r="AA6" s="115"/>
      <c r="AB6" s="115"/>
      <c r="AC6" s="115"/>
      <c r="AD6" s="115">
        <v>82</v>
      </c>
      <c r="AE6" s="115">
        <v>42.1</v>
      </c>
      <c r="AF6" s="115">
        <v>300</v>
      </c>
      <c r="AG6" s="115">
        <v>6</v>
      </c>
      <c r="AH6" s="115">
        <v>7</v>
      </c>
      <c r="AI6" s="115">
        <v>11</v>
      </c>
      <c r="AJ6" s="115" t="s">
        <v>180</v>
      </c>
      <c r="AK6" s="115">
        <v>6</v>
      </c>
      <c r="AL6" s="115"/>
      <c r="AM6" s="115"/>
      <c r="AN6" s="116"/>
      <c r="AO6" s="117">
        <v>2</v>
      </c>
      <c r="AP6" s="115">
        <v>1</v>
      </c>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spans="1:72">
      <c r="A7" s="115">
        <v>15</v>
      </c>
      <c r="B7" s="115" t="s">
        <v>174</v>
      </c>
      <c r="C7" s="115" t="s">
        <v>179</v>
      </c>
      <c r="D7" s="115">
        <v>288029938</v>
      </c>
      <c r="E7" s="115" t="s">
        <v>204</v>
      </c>
      <c r="F7" s="115" t="s">
        <v>88</v>
      </c>
      <c r="G7" s="115">
        <v>1</v>
      </c>
      <c r="H7" s="115"/>
      <c r="I7" s="115"/>
      <c r="J7" s="115" t="s">
        <v>205</v>
      </c>
      <c r="K7" s="115" t="s">
        <v>189</v>
      </c>
      <c r="L7" s="115"/>
      <c r="M7" s="115"/>
      <c r="N7" s="115"/>
      <c r="O7" s="115">
        <v>0</v>
      </c>
      <c r="P7" s="115">
        <v>0</v>
      </c>
      <c r="Q7" s="115">
        <v>2</v>
      </c>
      <c r="R7" s="115">
        <v>1</v>
      </c>
      <c r="S7" s="115" t="s">
        <v>155</v>
      </c>
      <c r="T7" s="115">
        <v>2</v>
      </c>
      <c r="U7" s="115"/>
      <c r="V7" s="115"/>
      <c r="W7" s="115"/>
      <c r="X7" s="115"/>
      <c r="Y7" s="115"/>
      <c r="Z7" s="115"/>
      <c r="AA7" s="115"/>
      <c r="AB7" s="115"/>
      <c r="AC7" s="115"/>
      <c r="AD7" s="115">
        <v>58</v>
      </c>
      <c r="AE7" s="115">
        <v>10.7</v>
      </c>
      <c r="AF7" s="115">
        <v>300</v>
      </c>
      <c r="AG7" s="115">
        <v>6</v>
      </c>
      <c r="AH7" s="115">
        <v>7</v>
      </c>
      <c r="AI7" s="115">
        <v>11</v>
      </c>
      <c r="AJ7" s="115" t="s">
        <v>180</v>
      </c>
      <c r="AK7" s="115">
        <v>7</v>
      </c>
      <c r="AL7" s="115"/>
      <c r="AM7" s="115"/>
      <c r="AN7" s="116"/>
      <c r="AO7" s="117">
        <v>0</v>
      </c>
      <c r="AP7" s="115">
        <v>1</v>
      </c>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spans="1:72">
      <c r="A8" s="115">
        <v>11</v>
      </c>
      <c r="B8" s="115" t="s">
        <v>227</v>
      </c>
      <c r="C8" s="119" t="s">
        <v>157</v>
      </c>
      <c r="D8" s="115">
        <v>282018289</v>
      </c>
      <c r="E8" s="115" t="s">
        <v>204</v>
      </c>
      <c r="F8" s="115" t="s">
        <v>88</v>
      </c>
      <c r="G8" s="115">
        <v>1</v>
      </c>
      <c r="H8" s="115" t="s">
        <v>155</v>
      </c>
      <c r="I8" s="115" t="s">
        <v>1</v>
      </c>
      <c r="J8" s="115" t="s">
        <v>176</v>
      </c>
      <c r="K8" s="115" t="s">
        <v>186</v>
      </c>
      <c r="L8" s="115" t="s">
        <v>1</v>
      </c>
      <c r="M8" s="115" t="s">
        <v>22</v>
      </c>
      <c r="N8" s="115">
        <v>6</v>
      </c>
      <c r="O8" s="115">
        <v>1</v>
      </c>
      <c r="P8" s="115">
        <v>0</v>
      </c>
      <c r="Q8" s="115">
        <v>1</v>
      </c>
      <c r="R8" s="115">
        <v>0</v>
      </c>
      <c r="S8" s="115" t="s">
        <v>179</v>
      </c>
      <c r="T8" s="115">
        <v>2</v>
      </c>
      <c r="U8" s="115"/>
      <c r="V8" s="115"/>
      <c r="W8" s="115"/>
      <c r="X8" s="115"/>
      <c r="Y8" s="115"/>
      <c r="Z8" s="115"/>
      <c r="AA8" s="115"/>
      <c r="AB8" s="115"/>
      <c r="AC8" s="115"/>
      <c r="AD8" s="115">
        <v>60</v>
      </c>
      <c r="AE8" s="115">
        <v>9.6999999999999993</v>
      </c>
      <c r="AF8" s="115">
        <v>300</v>
      </c>
      <c r="AG8" s="115">
        <v>6</v>
      </c>
      <c r="AH8" s="115">
        <v>7</v>
      </c>
      <c r="AI8" s="115">
        <v>11</v>
      </c>
      <c r="AJ8" s="115" t="s">
        <v>180</v>
      </c>
      <c r="AK8" s="115">
        <v>7</v>
      </c>
      <c r="AL8" s="115"/>
      <c r="AM8" s="115"/>
      <c r="AN8" s="116"/>
      <c r="AO8" s="118" t="s">
        <v>157</v>
      </c>
      <c r="AP8" s="115">
        <v>4</v>
      </c>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spans="1:72">
      <c r="A9" s="115">
        <v>2</v>
      </c>
      <c r="B9" s="115" t="s">
        <v>174</v>
      </c>
      <c r="C9" s="115" t="s">
        <v>179</v>
      </c>
      <c r="D9" s="115">
        <v>230196607</v>
      </c>
      <c r="E9" s="115" t="s">
        <v>181</v>
      </c>
      <c r="F9" s="115" t="s">
        <v>115</v>
      </c>
      <c r="G9" s="115">
        <v>5</v>
      </c>
      <c r="H9" s="115" t="s">
        <v>22</v>
      </c>
      <c r="I9" s="115"/>
      <c r="J9" s="115" t="s">
        <v>182</v>
      </c>
      <c r="K9" s="115" t="s">
        <v>177</v>
      </c>
      <c r="L9" s="115" t="s">
        <v>22</v>
      </c>
      <c r="M9" s="115"/>
      <c r="N9" s="115">
        <v>6</v>
      </c>
      <c r="O9" s="115">
        <v>0</v>
      </c>
      <c r="P9" s="115">
        <v>3</v>
      </c>
      <c r="Q9" s="115">
        <v>1</v>
      </c>
      <c r="R9" s="115">
        <v>0</v>
      </c>
      <c r="S9" s="115" t="s">
        <v>179</v>
      </c>
      <c r="T9" s="115">
        <v>3</v>
      </c>
      <c r="U9" s="115"/>
      <c r="V9" s="115" t="s">
        <v>183</v>
      </c>
      <c r="W9" s="115" t="s">
        <v>177</v>
      </c>
      <c r="X9" s="115"/>
      <c r="Y9" s="115"/>
      <c r="Z9" s="115"/>
      <c r="AA9" s="115" t="s">
        <v>183</v>
      </c>
      <c r="AB9" s="115"/>
      <c r="AC9" s="115"/>
      <c r="AD9" s="115">
        <v>78</v>
      </c>
      <c r="AE9" s="115">
        <v>35.4</v>
      </c>
      <c r="AF9" s="115">
        <v>300</v>
      </c>
      <c r="AG9" s="115">
        <v>6</v>
      </c>
      <c r="AH9" s="115">
        <v>7</v>
      </c>
      <c r="AI9" s="115">
        <v>630</v>
      </c>
      <c r="AJ9" s="115" t="s">
        <v>180</v>
      </c>
      <c r="AK9" s="115">
        <v>9</v>
      </c>
      <c r="AL9" s="115"/>
      <c r="AM9" s="115"/>
      <c r="AN9" s="116"/>
      <c r="AO9" s="117" t="s">
        <v>184</v>
      </c>
      <c r="AP9" s="115">
        <v>1</v>
      </c>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spans="1:72">
      <c r="A10" s="115">
        <v>3</v>
      </c>
      <c r="B10" s="115" t="s">
        <v>174</v>
      </c>
      <c r="C10" s="115" t="s">
        <v>179</v>
      </c>
      <c r="D10" s="115">
        <v>135291867</v>
      </c>
      <c r="E10" s="115" t="s">
        <v>181</v>
      </c>
      <c r="F10" s="115" t="s">
        <v>115</v>
      </c>
      <c r="G10" s="115">
        <v>5</v>
      </c>
      <c r="H10" s="115" t="s">
        <v>22</v>
      </c>
      <c r="I10" s="115" t="s">
        <v>185</v>
      </c>
      <c r="J10" s="115" t="s">
        <v>182</v>
      </c>
      <c r="K10" s="115" t="s">
        <v>186</v>
      </c>
      <c r="L10" s="115" t="s">
        <v>22</v>
      </c>
      <c r="M10" s="115"/>
      <c r="N10" s="115"/>
      <c r="O10" s="115"/>
      <c r="P10" s="115"/>
      <c r="Q10" s="115"/>
      <c r="R10" s="115"/>
      <c r="S10" s="115"/>
      <c r="T10" s="115"/>
      <c r="U10" s="115"/>
      <c r="V10" s="115" t="s">
        <v>183</v>
      </c>
      <c r="W10" s="115" t="s">
        <v>177</v>
      </c>
      <c r="X10" s="115"/>
      <c r="Y10" s="115"/>
      <c r="Z10" s="115"/>
      <c r="AA10" s="115" t="s">
        <v>183</v>
      </c>
      <c r="AB10" s="115"/>
      <c r="AC10" s="115"/>
      <c r="AD10" s="115">
        <v>84</v>
      </c>
      <c r="AE10" s="115"/>
      <c r="AF10" s="115">
        <v>300</v>
      </c>
      <c r="AG10" s="115">
        <v>6</v>
      </c>
      <c r="AH10" s="115">
        <v>7</v>
      </c>
      <c r="AI10" s="115">
        <v>630</v>
      </c>
      <c r="AJ10" s="115" t="s">
        <v>180</v>
      </c>
      <c r="AK10" s="115">
        <v>9</v>
      </c>
      <c r="AL10" s="115"/>
      <c r="AM10" s="115"/>
      <c r="AN10" s="116"/>
      <c r="AO10" s="117">
        <v>2</v>
      </c>
      <c r="AP10" s="115">
        <v>1</v>
      </c>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spans="1:72">
      <c r="A11" s="115">
        <v>4</v>
      </c>
      <c r="B11" s="115" t="s">
        <v>174</v>
      </c>
      <c r="C11" s="115" t="s">
        <v>157</v>
      </c>
      <c r="D11" s="115">
        <v>284053841</v>
      </c>
      <c r="E11" s="115" t="s">
        <v>187</v>
      </c>
      <c r="F11" s="115" t="s">
        <v>72</v>
      </c>
      <c r="G11" s="115">
        <v>6</v>
      </c>
      <c r="H11" s="115" t="s">
        <v>22</v>
      </c>
      <c r="I11" s="115" t="s">
        <v>155</v>
      </c>
      <c r="J11" s="115" t="s">
        <v>188</v>
      </c>
      <c r="K11" s="115" t="s">
        <v>189</v>
      </c>
      <c r="L11" s="115"/>
      <c r="M11" s="115"/>
      <c r="N11" s="115">
        <v>6</v>
      </c>
      <c r="O11" s="115">
        <v>0</v>
      </c>
      <c r="P11" s="115">
        <v>0</v>
      </c>
      <c r="Q11" s="115">
        <v>1</v>
      </c>
      <c r="R11" s="115">
        <v>0</v>
      </c>
      <c r="S11" s="115" t="s">
        <v>179</v>
      </c>
      <c r="T11" s="115">
        <v>1</v>
      </c>
      <c r="U11" s="115"/>
      <c r="V11" s="115"/>
      <c r="W11" s="115"/>
      <c r="X11" s="115"/>
      <c r="Y11" s="115"/>
      <c r="Z11" s="115"/>
      <c r="AA11" s="115"/>
      <c r="AB11" s="115"/>
      <c r="AC11" s="115"/>
      <c r="AD11" s="115">
        <v>62</v>
      </c>
      <c r="AE11" s="115">
        <v>10.7</v>
      </c>
      <c r="AF11" s="115">
        <v>300</v>
      </c>
      <c r="AG11" s="115">
        <v>6</v>
      </c>
      <c r="AH11" s="115">
        <v>7</v>
      </c>
      <c r="AI11" s="115">
        <v>630</v>
      </c>
      <c r="AJ11" s="115" t="s">
        <v>180</v>
      </c>
      <c r="AK11" s="115">
        <v>9</v>
      </c>
      <c r="AL11" s="115"/>
      <c r="AM11" s="115">
        <v>1</v>
      </c>
      <c r="AN11" s="116" t="s">
        <v>190</v>
      </c>
      <c r="AO11" s="117" t="s">
        <v>157</v>
      </c>
      <c r="AP11" s="115">
        <v>1</v>
      </c>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spans="1:72">
      <c r="A12" s="115">
        <v>1</v>
      </c>
      <c r="B12" s="115" t="s">
        <v>207</v>
      </c>
      <c r="C12" s="115" t="s">
        <v>179</v>
      </c>
      <c r="D12" s="115">
        <v>172176231</v>
      </c>
      <c r="E12" s="115" t="s">
        <v>175</v>
      </c>
      <c r="F12" s="115" t="s">
        <v>114</v>
      </c>
      <c r="G12" s="115">
        <v>1</v>
      </c>
      <c r="H12" s="115" t="s">
        <v>1</v>
      </c>
      <c r="I12" s="115"/>
      <c r="J12" s="115" t="s">
        <v>176</v>
      </c>
      <c r="K12" s="115" t="s">
        <v>186</v>
      </c>
      <c r="L12" s="115" t="s">
        <v>1</v>
      </c>
      <c r="M12" s="115"/>
      <c r="N12" s="115"/>
      <c r="O12" s="115">
        <v>3</v>
      </c>
      <c r="P12" s="115">
        <v>0</v>
      </c>
      <c r="Q12" s="115">
        <v>0</v>
      </c>
      <c r="R12" s="115" t="s">
        <v>179</v>
      </c>
      <c r="S12" s="115">
        <v>0</v>
      </c>
      <c r="T12" s="115">
        <v>4</v>
      </c>
      <c r="U12" s="115"/>
      <c r="V12" s="115" t="s">
        <v>189</v>
      </c>
      <c r="W12" s="115"/>
      <c r="X12" s="115" t="s">
        <v>189</v>
      </c>
      <c r="Y12" s="115"/>
      <c r="Z12" s="115"/>
      <c r="AA12" s="115" t="s">
        <v>189</v>
      </c>
      <c r="AB12" s="115"/>
      <c r="AC12" s="115"/>
      <c r="AD12" s="115">
        <v>60</v>
      </c>
      <c r="AE12" s="115">
        <v>22.1</v>
      </c>
      <c r="AF12" s="115">
        <v>300</v>
      </c>
      <c r="AG12" s="115">
        <v>6</v>
      </c>
      <c r="AH12" s="115">
        <v>7</v>
      </c>
      <c r="AI12" s="115">
        <v>630</v>
      </c>
      <c r="AJ12" s="115" t="s">
        <v>180</v>
      </c>
      <c r="AK12" s="115">
        <v>20</v>
      </c>
      <c r="AL12" s="115"/>
      <c r="AM12" s="115">
        <v>1</v>
      </c>
      <c r="AN12" s="116" t="s">
        <v>208</v>
      </c>
      <c r="AO12" s="117" t="s">
        <v>203</v>
      </c>
      <c r="AP12" s="115">
        <v>2</v>
      </c>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spans="1:72">
      <c r="A13" s="115">
        <v>2</v>
      </c>
      <c r="B13" s="115" t="s">
        <v>207</v>
      </c>
      <c r="C13" s="115" t="s">
        <v>157</v>
      </c>
      <c r="D13" s="115">
        <v>283105290</v>
      </c>
      <c r="E13" s="115" t="s">
        <v>194</v>
      </c>
      <c r="F13" s="115" t="s">
        <v>98</v>
      </c>
      <c r="G13" s="115">
        <v>1</v>
      </c>
      <c r="H13" s="115" t="s">
        <v>1</v>
      </c>
      <c r="I13" s="115"/>
      <c r="J13" s="115" t="s">
        <v>176</v>
      </c>
      <c r="K13" s="115" t="s">
        <v>186</v>
      </c>
      <c r="L13" s="115" t="s">
        <v>1</v>
      </c>
      <c r="M13" s="115"/>
      <c r="N13" s="115"/>
      <c r="O13" s="115">
        <v>2</v>
      </c>
      <c r="P13" s="115">
        <v>0</v>
      </c>
      <c r="Q13" s="115">
        <v>0</v>
      </c>
      <c r="R13" s="115" t="s">
        <v>179</v>
      </c>
      <c r="S13" s="115">
        <v>0</v>
      </c>
      <c r="T13" s="115">
        <v>1</v>
      </c>
      <c r="U13" s="115"/>
      <c r="V13" s="115"/>
      <c r="W13" s="115"/>
      <c r="X13" s="115" t="s">
        <v>189</v>
      </c>
      <c r="Y13" s="115"/>
      <c r="Z13" s="115"/>
      <c r="AA13" s="115"/>
      <c r="AB13" s="115"/>
      <c r="AC13" s="115"/>
      <c r="AD13" s="115">
        <v>91</v>
      </c>
      <c r="AE13" s="115">
        <v>29.6</v>
      </c>
      <c r="AF13" s="115">
        <v>300</v>
      </c>
      <c r="AG13" s="115">
        <v>6</v>
      </c>
      <c r="AH13" s="115">
        <v>7</v>
      </c>
      <c r="AI13" s="115">
        <v>630</v>
      </c>
      <c r="AJ13" s="115" t="s">
        <v>180</v>
      </c>
      <c r="AK13" s="115">
        <v>14</v>
      </c>
      <c r="AL13" s="115"/>
      <c r="AM13" s="115">
        <v>2</v>
      </c>
      <c r="AN13" s="116" t="s">
        <v>209</v>
      </c>
      <c r="AO13" s="117" t="s">
        <v>157</v>
      </c>
      <c r="AP13" s="115">
        <v>2</v>
      </c>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spans="1:72">
      <c r="A14" s="115">
        <v>3</v>
      </c>
      <c r="B14" s="115" t="s">
        <v>207</v>
      </c>
      <c r="C14" s="115" t="s">
        <v>189</v>
      </c>
      <c r="D14" s="115"/>
      <c r="E14" s="119" t="s">
        <v>192</v>
      </c>
      <c r="F14" s="115" t="s">
        <v>37</v>
      </c>
      <c r="G14" s="115">
        <v>6</v>
      </c>
      <c r="H14" s="115"/>
      <c r="I14" s="115"/>
      <c r="J14" s="115" t="s">
        <v>188</v>
      </c>
      <c r="K14" s="115" t="s">
        <v>186</v>
      </c>
      <c r="L14" s="115" t="s">
        <v>22</v>
      </c>
      <c r="M14" s="115"/>
      <c r="N14" s="115"/>
      <c r="O14" s="115"/>
      <c r="P14" s="115"/>
      <c r="Q14" s="115"/>
      <c r="R14" s="115"/>
      <c r="S14" s="115"/>
      <c r="T14" s="115"/>
      <c r="U14" s="115"/>
      <c r="V14" s="115"/>
      <c r="W14" s="115"/>
      <c r="X14" s="115"/>
      <c r="Y14" s="115"/>
      <c r="Z14" s="115"/>
      <c r="AA14" s="115"/>
      <c r="AB14" s="115"/>
      <c r="AC14" s="115"/>
      <c r="AD14" s="115"/>
      <c r="AE14" s="115"/>
      <c r="AF14" s="115"/>
      <c r="AG14" s="115">
        <v>6</v>
      </c>
      <c r="AH14" s="115">
        <v>7</v>
      </c>
      <c r="AI14" s="115">
        <v>630</v>
      </c>
      <c r="AJ14" s="115" t="s">
        <v>180</v>
      </c>
      <c r="AK14" s="115">
        <v>21</v>
      </c>
      <c r="AL14" s="115"/>
      <c r="AM14" s="115"/>
      <c r="AN14" s="116"/>
      <c r="AO14" s="117" t="s">
        <v>189</v>
      </c>
      <c r="AP14" s="115">
        <v>2</v>
      </c>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spans="1:72">
      <c r="A15" s="115">
        <v>4</v>
      </c>
      <c r="B15" s="115" t="s">
        <v>207</v>
      </c>
      <c r="C15" s="115" t="s">
        <v>179</v>
      </c>
      <c r="D15" s="115">
        <v>288029933</v>
      </c>
      <c r="E15" s="115" t="s">
        <v>210</v>
      </c>
      <c r="F15" s="115" t="s">
        <v>68</v>
      </c>
      <c r="G15" s="115">
        <v>5</v>
      </c>
      <c r="H15" s="115" t="s">
        <v>22</v>
      </c>
      <c r="I15" s="115"/>
      <c r="J15" s="115" t="s">
        <v>182</v>
      </c>
      <c r="K15" s="115" t="s">
        <v>186</v>
      </c>
      <c r="L15" s="115" t="s">
        <v>1</v>
      </c>
      <c r="M15" s="115"/>
      <c r="N15" s="115"/>
      <c r="O15" s="115">
        <v>2</v>
      </c>
      <c r="P15" s="115">
        <v>0</v>
      </c>
      <c r="Q15" s="115">
        <v>1</v>
      </c>
      <c r="R15" s="115" t="s">
        <v>179</v>
      </c>
      <c r="S15" s="115">
        <v>0</v>
      </c>
      <c r="T15" s="115">
        <v>1</v>
      </c>
      <c r="U15" s="115"/>
      <c r="V15" s="115" t="s">
        <v>185</v>
      </c>
      <c r="W15" s="115" t="s">
        <v>185</v>
      </c>
      <c r="X15" s="115"/>
      <c r="Y15" s="115"/>
      <c r="Z15" s="115"/>
      <c r="AA15" s="115"/>
      <c r="AB15" s="115"/>
      <c r="AC15" s="115"/>
      <c r="AD15" s="115">
        <v>66</v>
      </c>
      <c r="AE15" s="115">
        <v>13.1</v>
      </c>
      <c r="AF15" s="115">
        <v>300</v>
      </c>
      <c r="AG15" s="115">
        <v>6</v>
      </c>
      <c r="AH15" s="115">
        <v>7</v>
      </c>
      <c r="AI15" s="115">
        <v>630</v>
      </c>
      <c r="AJ15" s="115" t="s">
        <v>180</v>
      </c>
      <c r="AK15" s="115">
        <v>20</v>
      </c>
      <c r="AL15" s="115"/>
      <c r="AM15" s="115">
        <v>3</v>
      </c>
      <c r="AN15" s="116" t="s">
        <v>211</v>
      </c>
      <c r="AO15" s="117">
        <v>0</v>
      </c>
      <c r="AP15" s="115">
        <v>2</v>
      </c>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spans="1:72">
      <c r="A16" s="115">
        <v>5</v>
      </c>
      <c r="B16" s="115" t="s">
        <v>207</v>
      </c>
      <c r="C16" s="115" t="s">
        <v>179</v>
      </c>
      <c r="D16" s="115">
        <v>290077828</v>
      </c>
      <c r="E16" s="119" t="s">
        <v>212</v>
      </c>
      <c r="F16" s="115" t="s">
        <v>91</v>
      </c>
      <c r="G16" s="115">
        <v>1</v>
      </c>
      <c r="H16" s="115" t="s">
        <v>178</v>
      </c>
      <c r="I16" s="115"/>
      <c r="J16" s="115" t="s">
        <v>176</v>
      </c>
      <c r="K16" s="115" t="s">
        <v>177</v>
      </c>
      <c r="L16" s="115" t="s">
        <v>178</v>
      </c>
      <c r="M16" s="115"/>
      <c r="N16" s="115"/>
      <c r="O16" s="115">
        <v>0</v>
      </c>
      <c r="P16" s="115">
        <v>3</v>
      </c>
      <c r="Q16" s="115">
        <v>0</v>
      </c>
      <c r="R16" s="115" t="s">
        <v>179</v>
      </c>
      <c r="S16" s="115">
        <v>0</v>
      </c>
      <c r="T16" s="115"/>
      <c r="U16" s="115"/>
      <c r="V16" s="115"/>
      <c r="W16" s="115"/>
      <c r="X16" s="115"/>
      <c r="Y16" s="115"/>
      <c r="Z16" s="115"/>
      <c r="AA16" s="115"/>
      <c r="AB16" s="115"/>
      <c r="AC16" s="115"/>
      <c r="AD16" s="115">
        <v>60</v>
      </c>
      <c r="AE16" s="115"/>
      <c r="AF16" s="115"/>
      <c r="AG16" s="115">
        <v>6</v>
      </c>
      <c r="AH16" s="115">
        <v>7</v>
      </c>
      <c r="AI16" s="115">
        <v>630</v>
      </c>
      <c r="AJ16" s="115" t="s">
        <v>180</v>
      </c>
      <c r="AK16" s="115">
        <v>3</v>
      </c>
      <c r="AL16" s="115" t="s">
        <v>213</v>
      </c>
      <c r="AM16" s="115">
        <v>4</v>
      </c>
      <c r="AN16" s="116" t="s">
        <v>214</v>
      </c>
      <c r="AO16" s="117" t="s">
        <v>215</v>
      </c>
      <c r="AP16" s="115">
        <v>2</v>
      </c>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spans="1:72">
      <c r="A17" s="115">
        <v>1</v>
      </c>
      <c r="B17" s="115" t="s">
        <v>216</v>
      </c>
      <c r="C17" s="115" t="s">
        <v>157</v>
      </c>
      <c r="D17" s="115">
        <v>804191913</v>
      </c>
      <c r="E17" s="115" t="s">
        <v>181</v>
      </c>
      <c r="F17" s="115" t="s">
        <v>115</v>
      </c>
      <c r="G17" s="115">
        <v>5</v>
      </c>
      <c r="H17" s="115" t="s">
        <v>22</v>
      </c>
      <c r="I17" s="115"/>
      <c r="J17" s="115" t="s">
        <v>182</v>
      </c>
      <c r="K17" s="115" t="s">
        <v>177</v>
      </c>
      <c r="L17" s="115" t="s">
        <v>22</v>
      </c>
      <c r="M17" s="115" t="s">
        <v>178</v>
      </c>
      <c r="N17" s="115"/>
      <c r="O17" s="115">
        <v>1</v>
      </c>
      <c r="P17" s="115">
        <v>2</v>
      </c>
      <c r="Q17" s="115">
        <v>0</v>
      </c>
      <c r="R17" s="115">
        <v>0</v>
      </c>
      <c r="S17" s="115" t="s">
        <v>179</v>
      </c>
      <c r="T17" s="115">
        <v>3</v>
      </c>
      <c r="U17" s="115"/>
      <c r="V17" s="115" t="s">
        <v>183</v>
      </c>
      <c r="W17" s="115" t="s">
        <v>177</v>
      </c>
      <c r="X17" s="115"/>
      <c r="Y17" s="115"/>
      <c r="Z17" s="115"/>
      <c r="AA17" s="115"/>
      <c r="AB17" s="115"/>
      <c r="AC17" s="115" t="s">
        <v>197</v>
      </c>
      <c r="AD17" s="115">
        <v>81</v>
      </c>
      <c r="AE17" s="115">
        <v>38.6</v>
      </c>
      <c r="AF17" s="115">
        <v>300</v>
      </c>
      <c r="AG17" s="115">
        <v>6</v>
      </c>
      <c r="AH17" s="115">
        <v>7</v>
      </c>
      <c r="AI17" s="115">
        <v>630</v>
      </c>
      <c r="AJ17" s="115" t="s">
        <v>180</v>
      </c>
      <c r="AK17" s="115">
        <v>2</v>
      </c>
      <c r="AL17" s="115"/>
      <c r="AM17" s="115">
        <v>1</v>
      </c>
      <c r="AN17" s="116" t="s">
        <v>217</v>
      </c>
      <c r="AO17" s="117" t="s">
        <v>157</v>
      </c>
      <c r="AP17" s="115">
        <v>3</v>
      </c>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spans="1:72">
      <c r="A18" s="115">
        <v>1</v>
      </c>
      <c r="B18" s="115" t="s">
        <v>227</v>
      </c>
      <c r="C18" s="115" t="s">
        <v>157</v>
      </c>
      <c r="D18" s="115">
        <v>283105242</v>
      </c>
      <c r="E18" s="115" t="s">
        <v>194</v>
      </c>
      <c r="F18" s="115" t="s">
        <v>98</v>
      </c>
      <c r="G18" s="115">
        <v>1</v>
      </c>
      <c r="H18" s="115" t="s">
        <v>155</v>
      </c>
      <c r="I18" s="115" t="s">
        <v>178</v>
      </c>
      <c r="J18" s="115" t="s">
        <v>176</v>
      </c>
      <c r="K18" s="115" t="s">
        <v>177</v>
      </c>
      <c r="L18" s="115" t="s">
        <v>178</v>
      </c>
      <c r="M18" s="115" t="s">
        <v>22</v>
      </c>
      <c r="N18" s="115">
        <v>5</v>
      </c>
      <c r="O18" s="115">
        <v>0</v>
      </c>
      <c r="P18" s="115">
        <v>4</v>
      </c>
      <c r="Q18" s="115">
        <v>1</v>
      </c>
      <c r="R18" s="115">
        <v>0</v>
      </c>
      <c r="S18" s="115" t="s">
        <v>179</v>
      </c>
      <c r="T18" s="115">
        <v>1</v>
      </c>
      <c r="U18" s="115"/>
      <c r="V18" s="115" t="s">
        <v>178</v>
      </c>
      <c r="W18" s="115" t="s">
        <v>189</v>
      </c>
      <c r="X18" s="115" t="s">
        <v>178</v>
      </c>
      <c r="Y18" s="115"/>
      <c r="Z18" s="115"/>
      <c r="AA18" s="115" t="s">
        <v>189</v>
      </c>
      <c r="AB18" s="115"/>
      <c r="AC18" s="115"/>
      <c r="AD18" s="115">
        <v>94</v>
      </c>
      <c r="AE18" s="115">
        <v>32.9</v>
      </c>
      <c r="AF18" s="115">
        <v>300</v>
      </c>
      <c r="AG18" s="115">
        <v>6</v>
      </c>
      <c r="AH18" s="115">
        <v>7</v>
      </c>
      <c r="AI18" s="115">
        <v>630</v>
      </c>
      <c r="AJ18" s="115" t="s">
        <v>180</v>
      </c>
      <c r="AK18" s="115">
        <v>9</v>
      </c>
      <c r="AL18" s="115"/>
      <c r="AM18" s="115"/>
      <c r="AN18" s="116"/>
      <c r="AO18" s="117" t="s">
        <v>157</v>
      </c>
      <c r="AP18" s="115">
        <v>4</v>
      </c>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spans="1:72">
      <c r="A19" s="115">
        <v>5</v>
      </c>
      <c r="B19" s="115" t="s">
        <v>174</v>
      </c>
      <c r="C19" s="115" t="s">
        <v>179</v>
      </c>
      <c r="D19" s="115">
        <v>135291868</v>
      </c>
      <c r="E19" s="115" t="s">
        <v>191</v>
      </c>
      <c r="F19" s="115" t="s">
        <v>99</v>
      </c>
      <c r="G19" s="115">
        <v>1</v>
      </c>
      <c r="H19" s="115" t="s">
        <v>22</v>
      </c>
      <c r="I19" s="115" t="s">
        <v>155</v>
      </c>
      <c r="J19" s="115" t="s">
        <v>176</v>
      </c>
      <c r="K19" s="115" t="s">
        <v>186</v>
      </c>
      <c r="L19" s="115" t="s">
        <v>1</v>
      </c>
      <c r="M19" s="115" t="s">
        <v>22</v>
      </c>
      <c r="N19" s="115">
        <v>6</v>
      </c>
      <c r="O19" s="115">
        <v>3</v>
      </c>
      <c r="P19" s="115">
        <v>0</v>
      </c>
      <c r="Q19" s="115">
        <v>2</v>
      </c>
      <c r="R19" s="115">
        <v>0</v>
      </c>
      <c r="S19" s="115" t="s">
        <v>179</v>
      </c>
      <c r="T19" s="115">
        <v>2</v>
      </c>
      <c r="U19" s="115"/>
      <c r="V19" s="115" t="s">
        <v>189</v>
      </c>
      <c r="W19" s="115" t="s">
        <v>189</v>
      </c>
      <c r="X19" s="115"/>
      <c r="Y19" s="115"/>
      <c r="Z19" s="115"/>
      <c r="AA19" s="115" t="s">
        <v>178</v>
      </c>
      <c r="AB19" s="115"/>
      <c r="AC19" s="115"/>
      <c r="AD19" s="115">
        <v>133</v>
      </c>
      <c r="AE19" s="115">
        <v>84.3</v>
      </c>
      <c r="AF19" s="115">
        <v>300</v>
      </c>
      <c r="AG19" s="115">
        <v>6</v>
      </c>
      <c r="AH19" s="115">
        <v>7</v>
      </c>
      <c r="AI19" s="115">
        <v>710</v>
      </c>
      <c r="AJ19" s="115" t="s">
        <v>180</v>
      </c>
      <c r="AK19" s="115">
        <v>9</v>
      </c>
      <c r="AL19" s="115"/>
      <c r="AM19" s="115"/>
      <c r="AN19" s="116"/>
      <c r="AO19" s="117">
        <v>2</v>
      </c>
      <c r="AP19" s="115">
        <v>1</v>
      </c>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spans="1:72">
      <c r="A20" s="115">
        <v>2</v>
      </c>
      <c r="B20" s="115" t="s">
        <v>227</v>
      </c>
      <c r="C20" s="115" t="s">
        <v>179</v>
      </c>
      <c r="D20" s="115">
        <v>290077827</v>
      </c>
      <c r="E20" s="115" t="s">
        <v>228</v>
      </c>
      <c r="F20" s="115" t="s">
        <v>120</v>
      </c>
      <c r="G20" s="115">
        <v>1</v>
      </c>
      <c r="H20" s="115" t="s">
        <v>155</v>
      </c>
      <c r="I20" s="115" t="s">
        <v>1</v>
      </c>
      <c r="J20" s="115" t="s">
        <v>176</v>
      </c>
      <c r="K20" s="115" t="s">
        <v>186</v>
      </c>
      <c r="L20" s="115" t="s">
        <v>1</v>
      </c>
      <c r="M20" s="115" t="s">
        <v>22</v>
      </c>
      <c r="N20" s="115">
        <v>6</v>
      </c>
      <c r="O20" s="115">
        <v>3</v>
      </c>
      <c r="P20" s="115">
        <v>0</v>
      </c>
      <c r="Q20" s="115">
        <v>0</v>
      </c>
      <c r="R20" s="115">
        <v>0</v>
      </c>
      <c r="S20" s="115" t="s">
        <v>179</v>
      </c>
      <c r="T20" s="115">
        <v>3</v>
      </c>
      <c r="U20" s="115"/>
      <c r="V20" s="115"/>
      <c r="W20" s="115"/>
      <c r="X20" s="115"/>
      <c r="Y20" s="115"/>
      <c r="Z20" s="115"/>
      <c r="AA20" s="115"/>
      <c r="AB20" s="115"/>
      <c r="AC20" s="115"/>
      <c r="AD20" s="115">
        <v>59</v>
      </c>
      <c r="AE20" s="115">
        <v>8.9</v>
      </c>
      <c r="AF20" s="115">
        <v>300</v>
      </c>
      <c r="AG20" s="115">
        <v>6</v>
      </c>
      <c r="AH20" s="115">
        <v>7</v>
      </c>
      <c r="AI20" s="115">
        <v>710</v>
      </c>
      <c r="AJ20" s="115" t="s">
        <v>180</v>
      </c>
      <c r="AK20" s="115">
        <v>9</v>
      </c>
      <c r="AL20" s="115"/>
      <c r="AM20" s="115"/>
      <c r="AN20" s="116"/>
      <c r="AO20" s="117" t="s">
        <v>215</v>
      </c>
      <c r="AP20" s="115">
        <v>4</v>
      </c>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spans="1:72">
      <c r="A21" s="115">
        <v>3</v>
      </c>
      <c r="B21" s="115" t="s">
        <v>227</v>
      </c>
      <c r="C21" s="115" t="s">
        <v>157</v>
      </c>
      <c r="D21" s="115">
        <v>287076660</v>
      </c>
      <c r="E21" s="115" t="s">
        <v>228</v>
      </c>
      <c r="F21" s="115" t="s">
        <v>120</v>
      </c>
      <c r="G21" s="115">
        <v>1</v>
      </c>
      <c r="H21" s="115" t="s">
        <v>155</v>
      </c>
      <c r="I21" s="115" t="s">
        <v>178</v>
      </c>
      <c r="J21" s="115" t="s">
        <v>176</v>
      </c>
      <c r="K21" s="115" t="s">
        <v>177</v>
      </c>
      <c r="L21" s="115" t="s">
        <v>178</v>
      </c>
      <c r="M21" s="115" t="s">
        <v>22</v>
      </c>
      <c r="N21" s="115">
        <v>6</v>
      </c>
      <c r="O21" s="115">
        <v>0</v>
      </c>
      <c r="P21" s="115">
        <v>3</v>
      </c>
      <c r="Q21" s="115">
        <v>4</v>
      </c>
      <c r="R21" s="115">
        <v>0</v>
      </c>
      <c r="S21" s="115" t="s">
        <v>179</v>
      </c>
      <c r="T21" s="115">
        <v>3</v>
      </c>
      <c r="U21" s="115"/>
      <c r="V21" s="115"/>
      <c r="W21" s="115"/>
      <c r="X21" s="115"/>
      <c r="Y21" s="115"/>
      <c r="Z21" s="115"/>
      <c r="AA21" s="115"/>
      <c r="AB21" s="115"/>
      <c r="AC21" s="115"/>
      <c r="AD21" s="115">
        <v>54</v>
      </c>
      <c r="AE21" s="115">
        <v>10.6</v>
      </c>
      <c r="AF21" s="115">
        <v>300</v>
      </c>
      <c r="AG21" s="115">
        <v>6</v>
      </c>
      <c r="AH21" s="115">
        <v>7</v>
      </c>
      <c r="AI21" s="115">
        <v>710</v>
      </c>
      <c r="AJ21" s="115" t="s">
        <v>180</v>
      </c>
      <c r="AK21" s="115">
        <v>9</v>
      </c>
      <c r="AL21" s="115"/>
      <c r="AM21" s="115"/>
      <c r="AN21" s="116"/>
      <c r="AO21" s="117" t="s">
        <v>157</v>
      </c>
      <c r="AP21" s="115">
        <v>4</v>
      </c>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spans="1:72">
      <c r="A22" s="115">
        <v>6</v>
      </c>
      <c r="B22" s="115" t="s">
        <v>174</v>
      </c>
      <c r="C22" s="115" t="s">
        <v>189</v>
      </c>
      <c r="D22" s="115"/>
      <c r="E22" s="115" t="s">
        <v>192</v>
      </c>
      <c r="F22" s="115" t="s">
        <v>37</v>
      </c>
      <c r="G22" s="115">
        <v>1</v>
      </c>
      <c r="H22" s="115" t="s">
        <v>22</v>
      </c>
      <c r="I22" s="115"/>
      <c r="J22" s="115"/>
      <c r="K22" s="115" t="s">
        <v>186</v>
      </c>
      <c r="L22" s="115" t="s">
        <v>22</v>
      </c>
      <c r="M22" s="115"/>
      <c r="N22" s="115"/>
      <c r="O22" s="115"/>
      <c r="P22" s="115"/>
      <c r="Q22" s="115"/>
      <c r="R22" s="115"/>
      <c r="S22" s="115"/>
      <c r="T22" s="115"/>
      <c r="U22" s="115"/>
      <c r="V22" s="115"/>
      <c r="W22" s="115"/>
      <c r="X22" s="115"/>
      <c r="Y22" s="115"/>
      <c r="Z22" s="115"/>
      <c r="AA22" s="115"/>
      <c r="AB22" s="115"/>
      <c r="AC22" s="115"/>
      <c r="AD22" s="115"/>
      <c r="AE22" s="115"/>
      <c r="AF22" s="115"/>
      <c r="AG22" s="115">
        <v>6</v>
      </c>
      <c r="AH22" s="115">
        <v>7</v>
      </c>
      <c r="AI22" s="115">
        <v>740</v>
      </c>
      <c r="AJ22" s="115" t="s">
        <v>180</v>
      </c>
      <c r="AK22" s="115">
        <v>20</v>
      </c>
      <c r="AL22" s="115"/>
      <c r="AM22" s="115"/>
      <c r="AN22" s="116"/>
      <c r="AO22" s="117" t="s">
        <v>189</v>
      </c>
      <c r="AP22" s="115">
        <v>1</v>
      </c>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spans="1:72">
      <c r="A23" s="115">
        <v>7</v>
      </c>
      <c r="B23" s="115" t="s">
        <v>174</v>
      </c>
      <c r="C23" s="115" t="s">
        <v>189</v>
      </c>
      <c r="D23" s="115"/>
      <c r="E23" s="115" t="s">
        <v>193</v>
      </c>
      <c r="F23" s="115" t="s">
        <v>32</v>
      </c>
      <c r="G23" s="115">
        <v>1</v>
      </c>
      <c r="H23" s="115" t="s">
        <v>22</v>
      </c>
      <c r="I23" s="115"/>
      <c r="J23" s="115"/>
      <c r="K23" s="115" t="s">
        <v>177</v>
      </c>
      <c r="L23" s="115" t="s">
        <v>22</v>
      </c>
      <c r="M23" s="115"/>
      <c r="N23" s="115"/>
      <c r="O23" s="115"/>
      <c r="P23" s="115"/>
      <c r="Q23" s="115"/>
      <c r="R23" s="115"/>
      <c r="S23" s="115"/>
      <c r="T23" s="115"/>
      <c r="U23" s="115"/>
      <c r="V23" s="115"/>
      <c r="W23" s="115"/>
      <c r="X23" s="115"/>
      <c r="Y23" s="115"/>
      <c r="Z23" s="115"/>
      <c r="AA23" s="115"/>
      <c r="AB23" s="115"/>
      <c r="AC23" s="115"/>
      <c r="AD23" s="115"/>
      <c r="AE23" s="115"/>
      <c r="AF23" s="115"/>
      <c r="AG23" s="115">
        <v>6</v>
      </c>
      <c r="AH23" s="115">
        <v>7</v>
      </c>
      <c r="AI23" s="115">
        <v>740</v>
      </c>
      <c r="AJ23" s="115" t="s">
        <v>180</v>
      </c>
      <c r="AK23" s="115">
        <v>7</v>
      </c>
      <c r="AL23" s="115"/>
      <c r="AM23" s="115"/>
      <c r="AN23" s="116"/>
      <c r="AO23" s="117" t="s">
        <v>189</v>
      </c>
      <c r="AP23" s="115">
        <v>1</v>
      </c>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spans="1:72">
      <c r="A24" s="115">
        <v>2</v>
      </c>
      <c r="B24" s="115" t="s">
        <v>216</v>
      </c>
      <c r="C24" s="115" t="s">
        <v>157</v>
      </c>
      <c r="D24" s="115">
        <v>283105297</v>
      </c>
      <c r="E24" s="115" t="s">
        <v>194</v>
      </c>
      <c r="F24" s="115" t="s">
        <v>98</v>
      </c>
      <c r="G24" s="115">
        <v>1</v>
      </c>
      <c r="H24" s="115" t="s">
        <v>22</v>
      </c>
      <c r="I24" s="115"/>
      <c r="J24" s="115" t="s">
        <v>218</v>
      </c>
      <c r="K24" s="115" t="s">
        <v>186</v>
      </c>
      <c r="L24" s="115" t="s">
        <v>1</v>
      </c>
      <c r="M24" s="115"/>
      <c r="N24" s="115"/>
      <c r="O24" s="115">
        <v>3</v>
      </c>
      <c r="P24" s="115">
        <v>0</v>
      </c>
      <c r="Q24" s="115">
        <v>0</v>
      </c>
      <c r="R24" s="115">
        <v>0</v>
      </c>
      <c r="S24" s="115" t="s">
        <v>179</v>
      </c>
      <c r="T24" s="115">
        <v>4</v>
      </c>
      <c r="U24" s="115"/>
      <c r="V24" s="115" t="s">
        <v>178</v>
      </c>
      <c r="W24" s="115" t="s">
        <v>178</v>
      </c>
      <c r="X24" s="115" t="s">
        <v>178</v>
      </c>
      <c r="Y24" s="115" t="s">
        <v>178</v>
      </c>
      <c r="Z24" s="115"/>
      <c r="AA24" s="115" t="s">
        <v>178</v>
      </c>
      <c r="AB24" s="115"/>
      <c r="AC24" s="115"/>
      <c r="AD24" s="115">
        <v>105</v>
      </c>
      <c r="AE24" s="115">
        <v>29.4</v>
      </c>
      <c r="AF24" s="115">
        <v>300</v>
      </c>
      <c r="AG24" s="115">
        <v>6</v>
      </c>
      <c r="AH24" s="115">
        <v>7</v>
      </c>
      <c r="AI24" s="115">
        <v>740</v>
      </c>
      <c r="AJ24" s="115" t="s">
        <v>180</v>
      </c>
      <c r="AK24" s="115">
        <v>2</v>
      </c>
      <c r="AL24" s="115"/>
      <c r="AM24" s="115">
        <v>2</v>
      </c>
      <c r="AN24" s="116" t="s">
        <v>219</v>
      </c>
      <c r="AO24" s="117" t="s">
        <v>157</v>
      </c>
      <c r="AP24" s="115">
        <v>3</v>
      </c>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spans="1:72">
      <c r="A25" s="115">
        <v>8</v>
      </c>
      <c r="B25" s="115" t="s">
        <v>174</v>
      </c>
      <c r="C25" s="115" t="s">
        <v>157</v>
      </c>
      <c r="D25" s="115">
        <v>172176223</v>
      </c>
      <c r="E25" s="115" t="s">
        <v>194</v>
      </c>
      <c r="F25" s="115" t="s">
        <v>98</v>
      </c>
      <c r="G25" s="115">
        <v>5</v>
      </c>
      <c r="H25" s="115" t="s">
        <v>22</v>
      </c>
      <c r="I25" s="115"/>
      <c r="J25" s="115" t="s">
        <v>182</v>
      </c>
      <c r="K25" s="115" t="s">
        <v>186</v>
      </c>
      <c r="L25" s="115" t="s">
        <v>1</v>
      </c>
      <c r="M25" s="115"/>
      <c r="N25" s="115"/>
      <c r="O25" s="115">
        <v>2</v>
      </c>
      <c r="P25" s="115">
        <v>0</v>
      </c>
      <c r="Q25" s="115">
        <v>0</v>
      </c>
      <c r="R25" s="115">
        <v>0</v>
      </c>
      <c r="S25" s="115" t="s">
        <v>179</v>
      </c>
      <c r="T25" s="115">
        <v>2</v>
      </c>
      <c r="U25" s="115"/>
      <c r="V25" s="115" t="s">
        <v>183</v>
      </c>
      <c r="W25" s="115"/>
      <c r="X25" s="115" t="s">
        <v>183</v>
      </c>
      <c r="Y25" s="115"/>
      <c r="Z25" s="115"/>
      <c r="AA25" s="115" t="s">
        <v>183</v>
      </c>
      <c r="AB25" s="115"/>
      <c r="AC25" s="115"/>
      <c r="AD25" s="115">
        <v>95</v>
      </c>
      <c r="AE25" s="115">
        <v>29.5</v>
      </c>
      <c r="AF25" s="115">
        <v>300</v>
      </c>
      <c r="AG25" s="115">
        <v>6</v>
      </c>
      <c r="AH25" s="115">
        <v>7</v>
      </c>
      <c r="AI25" s="115">
        <v>810</v>
      </c>
      <c r="AJ25" s="115" t="s">
        <v>180</v>
      </c>
      <c r="AK25" s="115">
        <v>10</v>
      </c>
      <c r="AL25" s="115"/>
      <c r="AM25" s="115">
        <v>2</v>
      </c>
      <c r="AN25" s="116" t="s">
        <v>195</v>
      </c>
      <c r="AO25" s="117" t="s">
        <v>157</v>
      </c>
      <c r="AP25" s="115">
        <v>1</v>
      </c>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spans="1:72">
      <c r="A26" s="115">
        <v>9</v>
      </c>
      <c r="B26" s="115" t="s">
        <v>174</v>
      </c>
      <c r="C26" s="115" t="s">
        <v>157</v>
      </c>
      <c r="D26" s="115">
        <v>262091987</v>
      </c>
      <c r="E26" s="115" t="s">
        <v>196</v>
      </c>
      <c r="F26" s="115" t="s">
        <v>89</v>
      </c>
      <c r="G26" s="115">
        <v>1</v>
      </c>
      <c r="H26" s="115" t="s">
        <v>178</v>
      </c>
      <c r="I26" s="115"/>
      <c r="J26" s="115" t="s">
        <v>176</v>
      </c>
      <c r="K26" s="115" t="s">
        <v>177</v>
      </c>
      <c r="L26" s="115" t="s">
        <v>197</v>
      </c>
      <c r="M26" s="115"/>
      <c r="N26" s="115"/>
      <c r="O26" s="115">
        <v>0</v>
      </c>
      <c r="P26" s="115">
        <v>3</v>
      </c>
      <c r="Q26" s="115">
        <v>2</v>
      </c>
      <c r="R26" s="115">
        <v>0</v>
      </c>
      <c r="S26" s="115" t="s">
        <v>179</v>
      </c>
      <c r="T26" s="115">
        <v>2</v>
      </c>
      <c r="U26" s="115"/>
      <c r="V26" s="115"/>
      <c r="W26" s="115"/>
      <c r="X26" s="115"/>
      <c r="Y26" s="115"/>
      <c r="Z26" s="115"/>
      <c r="AA26" s="115"/>
      <c r="AB26" s="115"/>
      <c r="AC26" s="115"/>
      <c r="AD26" s="115">
        <v>47</v>
      </c>
      <c r="AE26" s="115">
        <v>5.8</v>
      </c>
      <c r="AF26" s="115">
        <v>300</v>
      </c>
      <c r="AG26" s="115">
        <v>6</v>
      </c>
      <c r="AH26" s="115">
        <v>7</v>
      </c>
      <c r="AI26" s="115">
        <v>810</v>
      </c>
      <c r="AJ26" s="115" t="s">
        <v>180</v>
      </c>
      <c r="AK26" s="115">
        <v>14</v>
      </c>
      <c r="AL26" s="115"/>
      <c r="AM26" s="115">
        <v>3</v>
      </c>
      <c r="AN26" s="116" t="s">
        <v>198</v>
      </c>
      <c r="AO26" s="117" t="s">
        <v>157</v>
      </c>
      <c r="AP26" s="115">
        <v>1</v>
      </c>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spans="1:72">
      <c r="A27" s="115">
        <v>3</v>
      </c>
      <c r="B27" s="115" t="s">
        <v>216</v>
      </c>
      <c r="C27" s="115" t="s">
        <v>189</v>
      </c>
      <c r="D27" s="115"/>
      <c r="E27" s="115" t="s">
        <v>193</v>
      </c>
      <c r="F27" s="115" t="s">
        <v>32</v>
      </c>
      <c r="G27" s="115">
        <v>2</v>
      </c>
      <c r="H27" s="115" t="s">
        <v>220</v>
      </c>
      <c r="I27" s="115"/>
      <c r="J27" s="115"/>
      <c r="K27" s="115" t="s">
        <v>189</v>
      </c>
      <c r="L27" s="115"/>
      <c r="M27" s="115"/>
      <c r="N27" s="115"/>
      <c r="O27" s="115"/>
      <c r="P27" s="115"/>
      <c r="Q27" s="115"/>
      <c r="R27" s="115"/>
      <c r="S27" s="115"/>
      <c r="T27" s="115"/>
      <c r="U27" s="115"/>
      <c r="V27" s="115"/>
      <c r="W27" s="115"/>
      <c r="X27" s="115"/>
      <c r="Y27" s="115"/>
      <c r="Z27" s="115"/>
      <c r="AA27" s="115"/>
      <c r="AB27" s="115"/>
      <c r="AC27" s="115"/>
      <c r="AD27" s="115"/>
      <c r="AE27" s="115"/>
      <c r="AF27" s="115"/>
      <c r="AG27" s="115">
        <v>6</v>
      </c>
      <c r="AH27" s="115">
        <v>7</v>
      </c>
      <c r="AI27" s="115">
        <v>810</v>
      </c>
      <c r="AJ27" s="115" t="s">
        <v>180</v>
      </c>
      <c r="AK27" s="115">
        <v>6</v>
      </c>
      <c r="AL27" s="115"/>
      <c r="AM27" s="115"/>
      <c r="AN27" s="116"/>
      <c r="AO27" s="118" t="s">
        <v>189</v>
      </c>
      <c r="AP27" s="115">
        <v>3</v>
      </c>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spans="1:72">
      <c r="A28" s="115">
        <v>4</v>
      </c>
      <c r="B28" s="115" t="s">
        <v>216</v>
      </c>
      <c r="C28" s="115" t="s">
        <v>189</v>
      </c>
      <c r="D28" s="115"/>
      <c r="E28" s="115" t="s">
        <v>193</v>
      </c>
      <c r="F28" s="115" t="s">
        <v>32</v>
      </c>
      <c r="G28" s="115">
        <v>1</v>
      </c>
      <c r="H28" s="115" t="s">
        <v>22</v>
      </c>
      <c r="I28" s="115" t="s">
        <v>220</v>
      </c>
      <c r="J28" s="115"/>
      <c r="K28" s="115" t="s">
        <v>177</v>
      </c>
      <c r="L28" s="115" t="s">
        <v>22</v>
      </c>
      <c r="M28" s="115"/>
      <c r="N28" s="115"/>
      <c r="O28" s="115"/>
      <c r="P28" s="115"/>
      <c r="Q28" s="115"/>
      <c r="R28" s="115"/>
      <c r="S28" s="115"/>
      <c r="T28" s="115"/>
      <c r="U28" s="115"/>
      <c r="V28" s="115"/>
      <c r="W28" s="115"/>
      <c r="X28" s="115"/>
      <c r="Y28" s="115"/>
      <c r="Z28" s="115"/>
      <c r="AA28" s="115"/>
      <c r="AB28" s="115"/>
      <c r="AC28" s="115"/>
      <c r="AD28" s="115"/>
      <c r="AE28" s="115"/>
      <c r="AF28" s="115"/>
      <c r="AG28" s="115">
        <v>6</v>
      </c>
      <c r="AH28" s="115">
        <v>7</v>
      </c>
      <c r="AI28" s="115">
        <v>810</v>
      </c>
      <c r="AJ28" s="115" t="s">
        <v>180</v>
      </c>
      <c r="AK28" s="115">
        <v>6</v>
      </c>
      <c r="AL28" s="115"/>
      <c r="AM28" s="115"/>
      <c r="AN28" s="116"/>
      <c r="AO28" s="117" t="s">
        <v>189</v>
      </c>
      <c r="AP28" s="115">
        <v>3</v>
      </c>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spans="1:72">
      <c r="A29" s="115">
        <v>5</v>
      </c>
      <c r="B29" s="115" t="s">
        <v>216</v>
      </c>
      <c r="C29" s="115" t="s">
        <v>157</v>
      </c>
      <c r="D29" s="115">
        <v>290063531</v>
      </c>
      <c r="E29" s="115" t="s">
        <v>196</v>
      </c>
      <c r="F29" s="115" t="s">
        <v>89</v>
      </c>
      <c r="G29" s="115">
        <v>1</v>
      </c>
      <c r="H29" s="115" t="s">
        <v>22</v>
      </c>
      <c r="I29" s="115"/>
      <c r="J29" s="115"/>
      <c r="K29" s="115" t="s">
        <v>189</v>
      </c>
      <c r="L29" s="115"/>
      <c r="M29" s="115"/>
      <c r="N29" s="115">
        <v>8</v>
      </c>
      <c r="O29" s="115"/>
      <c r="P29" s="115"/>
      <c r="Q29" s="115"/>
      <c r="R29" s="115"/>
      <c r="S29" s="115" t="s">
        <v>179</v>
      </c>
      <c r="T29" s="115">
        <v>2</v>
      </c>
      <c r="U29" s="115"/>
      <c r="V29" s="115"/>
      <c r="W29" s="115"/>
      <c r="X29" s="115"/>
      <c r="Y29" s="115"/>
      <c r="Z29" s="115"/>
      <c r="AA29" s="115"/>
      <c r="AB29" s="115"/>
      <c r="AC29" s="115" t="s">
        <v>197</v>
      </c>
      <c r="AD29" s="115">
        <v>47</v>
      </c>
      <c r="AE29" s="115">
        <v>5.6</v>
      </c>
      <c r="AF29" s="115">
        <v>300</v>
      </c>
      <c r="AG29" s="115">
        <v>6</v>
      </c>
      <c r="AH29" s="115">
        <v>7</v>
      </c>
      <c r="AI29" s="115">
        <v>810</v>
      </c>
      <c r="AJ29" s="115" t="s">
        <v>180</v>
      </c>
      <c r="AK29" s="115">
        <v>14</v>
      </c>
      <c r="AL29" s="115"/>
      <c r="AM29" s="115">
        <v>3</v>
      </c>
      <c r="AN29" s="116" t="s">
        <v>221</v>
      </c>
      <c r="AO29" s="117" t="s">
        <v>157</v>
      </c>
      <c r="AP29" s="115">
        <v>3</v>
      </c>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spans="1:72">
      <c r="A30" s="115">
        <v>4</v>
      </c>
      <c r="B30" s="115" t="s">
        <v>227</v>
      </c>
      <c r="C30" s="115" t="s">
        <v>179</v>
      </c>
      <c r="D30" s="115">
        <v>290077829</v>
      </c>
      <c r="E30" s="115" t="s">
        <v>225</v>
      </c>
      <c r="F30" s="115" t="s">
        <v>122</v>
      </c>
      <c r="G30" s="115">
        <v>1</v>
      </c>
      <c r="H30" s="115" t="s">
        <v>155</v>
      </c>
      <c r="I30" s="115" t="s">
        <v>178</v>
      </c>
      <c r="J30" s="115" t="s">
        <v>176</v>
      </c>
      <c r="K30" s="115" t="s">
        <v>177</v>
      </c>
      <c r="L30" s="115" t="s">
        <v>178</v>
      </c>
      <c r="M30" s="115" t="s">
        <v>22</v>
      </c>
      <c r="N30" s="115">
        <v>6</v>
      </c>
      <c r="O30" s="115">
        <v>0</v>
      </c>
      <c r="P30" s="115">
        <v>4</v>
      </c>
      <c r="Q30" s="115">
        <v>0</v>
      </c>
      <c r="R30" s="115">
        <v>0</v>
      </c>
      <c r="S30" s="115" t="s">
        <v>179</v>
      </c>
      <c r="T30" s="115">
        <v>3</v>
      </c>
      <c r="U30" s="115"/>
      <c r="V30" s="115"/>
      <c r="W30" s="115"/>
      <c r="X30" s="115"/>
      <c r="Y30" s="115"/>
      <c r="Z30" s="115"/>
      <c r="AA30" s="115"/>
      <c r="AB30" s="115"/>
      <c r="AC30" s="115"/>
      <c r="AD30" s="115">
        <v>50</v>
      </c>
      <c r="AE30" s="115">
        <v>9.5</v>
      </c>
      <c r="AF30" s="115">
        <v>300</v>
      </c>
      <c r="AG30" s="115">
        <v>6</v>
      </c>
      <c r="AH30" s="115">
        <v>7</v>
      </c>
      <c r="AI30" s="115">
        <v>810</v>
      </c>
      <c r="AJ30" s="115" t="s">
        <v>180</v>
      </c>
      <c r="AK30" s="115">
        <v>21</v>
      </c>
      <c r="AL30" s="115"/>
      <c r="AM30" s="115"/>
      <c r="AN30" s="116"/>
      <c r="AO30" s="118" t="s">
        <v>215</v>
      </c>
      <c r="AP30" s="115">
        <v>4</v>
      </c>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spans="1:72">
      <c r="A31" s="115">
        <v>10</v>
      </c>
      <c r="B31" s="115" t="s">
        <v>174</v>
      </c>
      <c r="C31" s="115" t="s">
        <v>179</v>
      </c>
      <c r="D31" s="119">
        <v>281191223</v>
      </c>
      <c r="E31" s="115" t="s">
        <v>199</v>
      </c>
      <c r="F31" s="115" t="s">
        <v>111</v>
      </c>
      <c r="G31" s="115">
        <v>2</v>
      </c>
      <c r="H31" s="115" t="s">
        <v>183</v>
      </c>
      <c r="I31" s="115"/>
      <c r="J31" s="115" t="s">
        <v>200</v>
      </c>
      <c r="K31" s="115" t="s">
        <v>189</v>
      </c>
      <c r="L31" s="115"/>
      <c r="M31" s="115"/>
      <c r="N31" s="115"/>
      <c r="O31" s="115">
        <v>0</v>
      </c>
      <c r="P31" s="115">
        <v>0</v>
      </c>
      <c r="Q31" s="115">
        <v>3</v>
      </c>
      <c r="R31" s="115">
        <v>2</v>
      </c>
      <c r="S31" s="115" t="s">
        <v>183</v>
      </c>
      <c r="T31" s="115">
        <v>0</v>
      </c>
      <c r="U31" s="115">
        <v>3</v>
      </c>
      <c r="V31" s="115" t="s">
        <v>183</v>
      </c>
      <c r="W31" s="115" t="s">
        <v>183</v>
      </c>
      <c r="X31" s="115"/>
      <c r="Y31" s="115"/>
      <c r="Z31" s="115"/>
      <c r="AA31" s="115" t="s">
        <v>183</v>
      </c>
      <c r="AB31" s="115"/>
      <c r="AC31" s="115"/>
      <c r="AD31" s="115">
        <v>64</v>
      </c>
      <c r="AE31" s="115">
        <v>17.3</v>
      </c>
      <c r="AF31" s="115">
        <v>300</v>
      </c>
      <c r="AG31" s="115">
        <v>6</v>
      </c>
      <c r="AH31" s="115">
        <v>7</v>
      </c>
      <c r="AI31" s="115">
        <v>850</v>
      </c>
      <c r="AJ31" s="115" t="s">
        <v>180</v>
      </c>
      <c r="AK31" s="115">
        <v>15</v>
      </c>
      <c r="AL31" s="115"/>
      <c r="AM31" s="115"/>
      <c r="AN31" s="116"/>
      <c r="AO31" s="117">
        <v>1</v>
      </c>
      <c r="AP31" s="115">
        <v>1</v>
      </c>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spans="1:72">
      <c r="A32" s="115">
        <v>5</v>
      </c>
      <c r="B32" s="115" t="s">
        <v>227</v>
      </c>
      <c r="C32" s="115" t="s">
        <v>157</v>
      </c>
      <c r="D32" s="115">
        <v>281127931</v>
      </c>
      <c r="E32" s="115" t="s">
        <v>229</v>
      </c>
      <c r="F32" s="115" t="s">
        <v>95</v>
      </c>
      <c r="G32" s="115">
        <v>1</v>
      </c>
      <c r="H32" s="115" t="s">
        <v>155</v>
      </c>
      <c r="I32" s="115" t="s">
        <v>1</v>
      </c>
      <c r="J32" s="115" t="s">
        <v>176</v>
      </c>
      <c r="K32" s="115" t="s">
        <v>186</v>
      </c>
      <c r="L32" s="115" t="s">
        <v>1</v>
      </c>
      <c r="M32" s="115" t="s">
        <v>22</v>
      </c>
      <c r="N32" s="115">
        <v>6</v>
      </c>
      <c r="O32" s="115">
        <v>1</v>
      </c>
      <c r="P32" s="115">
        <v>0</v>
      </c>
      <c r="Q32" s="115">
        <v>0</v>
      </c>
      <c r="R32" s="115">
        <v>0</v>
      </c>
      <c r="S32" s="115" t="s">
        <v>179</v>
      </c>
      <c r="T32" s="115">
        <v>3</v>
      </c>
      <c r="U32" s="115"/>
      <c r="V32" s="115"/>
      <c r="W32" s="115"/>
      <c r="X32" s="115"/>
      <c r="Y32" s="115"/>
      <c r="Z32" s="115"/>
      <c r="AA32" s="115"/>
      <c r="AB32" s="115"/>
      <c r="AC32" s="115"/>
      <c r="AD32" s="115">
        <v>51</v>
      </c>
      <c r="AE32" s="115">
        <v>11</v>
      </c>
      <c r="AF32" s="115">
        <v>300</v>
      </c>
      <c r="AG32" s="115">
        <v>6</v>
      </c>
      <c r="AH32" s="115">
        <v>7</v>
      </c>
      <c r="AI32" s="115">
        <v>850</v>
      </c>
      <c r="AJ32" s="115" t="s">
        <v>180</v>
      </c>
      <c r="AK32" s="115">
        <v>8</v>
      </c>
      <c r="AL32" s="115"/>
      <c r="AM32" s="115"/>
      <c r="AN32" s="116"/>
      <c r="AO32" s="117" t="s">
        <v>157</v>
      </c>
      <c r="AP32" s="115">
        <v>4</v>
      </c>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spans="1:72">
      <c r="A33" s="115">
        <v>6</v>
      </c>
      <c r="B33" s="115" t="s">
        <v>227</v>
      </c>
      <c r="C33" s="115" t="s">
        <v>157</v>
      </c>
      <c r="D33" s="115">
        <v>262127392</v>
      </c>
      <c r="E33" s="115" t="s">
        <v>199</v>
      </c>
      <c r="F33" s="115" t="s">
        <v>111</v>
      </c>
      <c r="G33" s="115">
        <v>1</v>
      </c>
      <c r="H33" s="115" t="s">
        <v>155</v>
      </c>
      <c r="I33" s="115" t="s">
        <v>178</v>
      </c>
      <c r="J33" s="115" t="s">
        <v>176</v>
      </c>
      <c r="K33" s="115" t="s">
        <v>177</v>
      </c>
      <c r="L33" s="115" t="s">
        <v>178</v>
      </c>
      <c r="M33" s="115" t="s">
        <v>22</v>
      </c>
      <c r="N33" s="115">
        <v>6</v>
      </c>
      <c r="O33" s="115">
        <v>0</v>
      </c>
      <c r="P33" s="115">
        <v>4</v>
      </c>
      <c r="Q33" s="115">
        <v>0</v>
      </c>
      <c r="R33" s="115">
        <v>0</v>
      </c>
      <c r="S33" s="115" t="s">
        <v>179</v>
      </c>
      <c r="T33" s="115">
        <v>2</v>
      </c>
      <c r="U33" s="115"/>
      <c r="V33" s="115"/>
      <c r="W33" s="115"/>
      <c r="X33" s="115"/>
      <c r="Y33" s="115"/>
      <c r="Z33" s="115"/>
      <c r="AA33" s="115"/>
      <c r="AB33" s="115"/>
      <c r="AC33" s="115"/>
      <c r="AD33" s="115">
        <v>69</v>
      </c>
      <c r="AE33" s="115">
        <v>18.100000000000001</v>
      </c>
      <c r="AF33" s="115">
        <v>300</v>
      </c>
      <c r="AG33" s="115">
        <v>6</v>
      </c>
      <c r="AH33" s="115">
        <v>7</v>
      </c>
      <c r="AI33" s="115">
        <v>850</v>
      </c>
      <c r="AJ33" s="115" t="s">
        <v>180</v>
      </c>
      <c r="AK33" s="115">
        <v>5</v>
      </c>
      <c r="AL33" s="115"/>
      <c r="AM33" s="115"/>
      <c r="AN33" s="116"/>
      <c r="AO33" s="118" t="s">
        <v>157</v>
      </c>
      <c r="AP33" s="115">
        <v>4</v>
      </c>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spans="1:72">
      <c r="A34" s="115">
        <v>7</v>
      </c>
      <c r="B34" s="115" t="s">
        <v>227</v>
      </c>
      <c r="C34" s="115" t="s">
        <v>179</v>
      </c>
      <c r="D34" s="115">
        <v>172176232</v>
      </c>
      <c r="E34" s="115" t="s">
        <v>175</v>
      </c>
      <c r="F34" s="115" t="s">
        <v>114</v>
      </c>
      <c r="G34" s="115">
        <v>1</v>
      </c>
      <c r="H34" s="115" t="s">
        <v>155</v>
      </c>
      <c r="I34" s="115" t="s">
        <v>1</v>
      </c>
      <c r="J34" s="115" t="s">
        <v>176</v>
      </c>
      <c r="K34" s="115" t="s">
        <v>186</v>
      </c>
      <c r="L34" s="115" t="s">
        <v>1</v>
      </c>
      <c r="M34" s="115" t="s">
        <v>22</v>
      </c>
      <c r="N34" s="115">
        <v>6</v>
      </c>
      <c r="O34" s="115">
        <v>3</v>
      </c>
      <c r="P34" s="115">
        <v>0</v>
      </c>
      <c r="Q34" s="115">
        <v>0</v>
      </c>
      <c r="R34" s="115">
        <v>0</v>
      </c>
      <c r="S34" s="115" t="s">
        <v>179</v>
      </c>
      <c r="T34" s="115">
        <v>3</v>
      </c>
      <c r="U34" s="115"/>
      <c r="V34" s="115"/>
      <c r="W34" s="115"/>
      <c r="X34" s="115"/>
      <c r="Y34" s="115"/>
      <c r="Z34" s="115"/>
      <c r="AA34" s="115"/>
      <c r="AB34" s="115"/>
      <c r="AC34" s="115"/>
      <c r="AD34" s="115">
        <v>66</v>
      </c>
      <c r="AE34" s="115">
        <v>25.2</v>
      </c>
      <c r="AF34" s="115">
        <v>300</v>
      </c>
      <c r="AG34" s="115">
        <v>6</v>
      </c>
      <c r="AH34" s="115">
        <v>7</v>
      </c>
      <c r="AI34" s="115">
        <v>920</v>
      </c>
      <c r="AJ34" s="115" t="s">
        <v>180</v>
      </c>
      <c r="AK34" s="115">
        <v>20</v>
      </c>
      <c r="AL34" s="115"/>
      <c r="AM34" s="115"/>
      <c r="AN34" s="116"/>
      <c r="AO34" s="117" t="s">
        <v>203</v>
      </c>
      <c r="AP34" s="115">
        <v>4</v>
      </c>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spans="1:72">
      <c r="A35" s="115">
        <v>6</v>
      </c>
      <c r="B35" s="115" t="s">
        <v>207</v>
      </c>
      <c r="C35" s="115" t="s">
        <v>179</v>
      </c>
      <c r="D35" s="115">
        <v>288029934</v>
      </c>
      <c r="E35" s="115" t="s">
        <v>199</v>
      </c>
      <c r="F35" s="115" t="s">
        <v>111</v>
      </c>
      <c r="G35" s="115">
        <v>5</v>
      </c>
      <c r="H35" s="115" t="s">
        <v>1</v>
      </c>
      <c r="I35" s="115" t="s">
        <v>22</v>
      </c>
      <c r="J35" s="115" t="s">
        <v>182</v>
      </c>
      <c r="K35" s="115" t="s">
        <v>186</v>
      </c>
      <c r="L35" s="115" t="s">
        <v>1</v>
      </c>
      <c r="M35" s="115"/>
      <c r="N35" s="115"/>
      <c r="O35" s="115">
        <v>3</v>
      </c>
      <c r="P35" s="115">
        <v>0</v>
      </c>
      <c r="Q35" s="115">
        <v>0</v>
      </c>
      <c r="R35" s="115" t="s">
        <v>179</v>
      </c>
      <c r="S35" s="115">
        <v>0</v>
      </c>
      <c r="T35" s="115">
        <v>2</v>
      </c>
      <c r="U35" s="115"/>
      <c r="V35" s="115"/>
      <c r="W35" s="115"/>
      <c r="X35" s="115"/>
      <c r="Y35" s="115"/>
      <c r="Z35" s="115"/>
      <c r="AA35" s="115"/>
      <c r="AB35" s="115" t="s">
        <v>177</v>
      </c>
      <c r="AC35" s="115"/>
      <c r="AD35" s="115">
        <v>73</v>
      </c>
      <c r="AE35" s="115">
        <v>17.899999999999999</v>
      </c>
      <c r="AF35" s="115">
        <v>300</v>
      </c>
      <c r="AG35" s="115">
        <v>6</v>
      </c>
      <c r="AH35" s="115">
        <v>7</v>
      </c>
      <c r="AI35" s="115">
        <v>1010</v>
      </c>
      <c r="AJ35" s="115" t="s">
        <v>180</v>
      </c>
      <c r="AK35" s="115">
        <v>3</v>
      </c>
      <c r="AL35" s="115"/>
      <c r="AM35" s="115"/>
      <c r="AN35" s="116"/>
      <c r="AO35" s="117">
        <v>0</v>
      </c>
      <c r="AP35" s="115">
        <v>2</v>
      </c>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spans="1:72">
      <c r="A36" s="115">
        <v>12</v>
      </c>
      <c r="B36" s="115" t="s">
        <v>174</v>
      </c>
      <c r="C36" s="115" t="s">
        <v>179</v>
      </c>
      <c r="D36" s="115">
        <v>230196608</v>
      </c>
      <c r="E36" s="115" t="s">
        <v>181</v>
      </c>
      <c r="F36" s="115" t="s">
        <v>115</v>
      </c>
      <c r="G36" s="115">
        <v>5</v>
      </c>
      <c r="H36" s="115" t="s">
        <v>185</v>
      </c>
      <c r="I36" s="115"/>
      <c r="J36" s="115" t="s">
        <v>182</v>
      </c>
      <c r="K36" s="115" t="s">
        <v>186</v>
      </c>
      <c r="L36" s="115" t="s">
        <v>22</v>
      </c>
      <c r="M36" s="115"/>
      <c r="N36" s="115"/>
      <c r="O36" s="115">
        <v>3</v>
      </c>
      <c r="P36" s="115">
        <v>0</v>
      </c>
      <c r="Q36" s="115">
        <v>3</v>
      </c>
      <c r="R36" s="115">
        <v>0</v>
      </c>
      <c r="S36" s="115" t="s">
        <v>179</v>
      </c>
      <c r="T36" s="115">
        <v>2</v>
      </c>
      <c r="U36" s="115"/>
      <c r="V36" s="115" t="s">
        <v>183</v>
      </c>
      <c r="W36" s="115" t="s">
        <v>177</v>
      </c>
      <c r="X36" s="115"/>
      <c r="Y36" s="115"/>
      <c r="Z36" s="115"/>
      <c r="AA36" s="115" t="s">
        <v>183</v>
      </c>
      <c r="AB36" s="115"/>
      <c r="AC36" s="115"/>
      <c r="AD36" s="115">
        <v>81</v>
      </c>
      <c r="AE36" s="115">
        <v>40.6</v>
      </c>
      <c r="AF36" s="115">
        <v>300</v>
      </c>
      <c r="AG36" s="115">
        <v>6</v>
      </c>
      <c r="AH36" s="115">
        <v>7</v>
      </c>
      <c r="AI36" s="115">
        <v>1030</v>
      </c>
      <c r="AJ36" s="115" t="s">
        <v>180</v>
      </c>
      <c r="AK36" s="115">
        <v>2</v>
      </c>
      <c r="AL36" s="115"/>
      <c r="AM36" s="115">
        <v>5</v>
      </c>
      <c r="AN36" s="116" t="s">
        <v>202</v>
      </c>
      <c r="AO36" s="117" t="s">
        <v>184</v>
      </c>
      <c r="AP36" s="115">
        <v>1</v>
      </c>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spans="1:72">
      <c r="A37" s="115">
        <v>13</v>
      </c>
      <c r="B37" s="115" t="s">
        <v>174</v>
      </c>
      <c r="C37" s="115" t="s">
        <v>179</v>
      </c>
      <c r="D37" s="115">
        <v>172176234</v>
      </c>
      <c r="E37" s="115" t="s">
        <v>175</v>
      </c>
      <c r="F37" s="115" t="s">
        <v>114</v>
      </c>
      <c r="G37" s="115">
        <v>1</v>
      </c>
      <c r="H37" s="115" t="s">
        <v>22</v>
      </c>
      <c r="I37" s="115"/>
      <c r="J37" s="115" t="s">
        <v>176</v>
      </c>
      <c r="K37" s="115" t="s">
        <v>177</v>
      </c>
      <c r="L37" s="115" t="s">
        <v>178</v>
      </c>
      <c r="M37" s="115"/>
      <c r="N37" s="115"/>
      <c r="O37" s="115">
        <v>0</v>
      </c>
      <c r="P37" s="115">
        <v>4</v>
      </c>
      <c r="Q37" s="115">
        <v>2</v>
      </c>
      <c r="R37" s="115">
        <v>0</v>
      </c>
      <c r="S37" s="115" t="s">
        <v>179</v>
      </c>
      <c r="T37" s="115">
        <v>3</v>
      </c>
      <c r="U37" s="115"/>
      <c r="V37" s="115"/>
      <c r="W37" s="115"/>
      <c r="X37" s="115"/>
      <c r="Y37" s="115"/>
      <c r="Z37" s="115"/>
      <c r="AA37" s="115"/>
      <c r="AB37" s="115"/>
      <c r="AC37" s="115"/>
      <c r="AD37" s="115">
        <v>63</v>
      </c>
      <c r="AE37" s="115">
        <v>22</v>
      </c>
      <c r="AF37" s="115">
        <v>300</v>
      </c>
      <c r="AG37" s="115">
        <v>6</v>
      </c>
      <c r="AH37" s="115">
        <v>7</v>
      </c>
      <c r="AI37" s="115">
        <v>1030</v>
      </c>
      <c r="AJ37" s="115" t="s">
        <v>180</v>
      </c>
      <c r="AK37" s="115">
        <v>8</v>
      </c>
      <c r="AL37" s="115"/>
      <c r="AM37" s="115"/>
      <c r="AN37" s="116"/>
      <c r="AO37" s="118" t="s">
        <v>203</v>
      </c>
      <c r="AP37" s="115">
        <v>1</v>
      </c>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spans="1:72">
      <c r="A38" s="115">
        <v>7</v>
      </c>
      <c r="B38" s="115" t="s">
        <v>216</v>
      </c>
      <c r="C38" s="115" t="s">
        <v>179</v>
      </c>
      <c r="D38" s="115">
        <v>288029937</v>
      </c>
      <c r="E38" s="115" t="s">
        <v>223</v>
      </c>
      <c r="F38" s="115" t="s">
        <v>123</v>
      </c>
      <c r="G38" s="115">
        <v>5</v>
      </c>
      <c r="H38" s="115" t="s">
        <v>220</v>
      </c>
      <c r="I38" s="115"/>
      <c r="J38" s="115" t="s">
        <v>182</v>
      </c>
      <c r="K38" s="115" t="s">
        <v>177</v>
      </c>
      <c r="L38" s="115" t="s">
        <v>178</v>
      </c>
      <c r="M38" s="115"/>
      <c r="N38" s="115"/>
      <c r="O38" s="115">
        <v>0</v>
      </c>
      <c r="P38" s="115">
        <v>2</v>
      </c>
      <c r="Q38" s="115">
        <v>2</v>
      </c>
      <c r="R38" s="115">
        <v>0</v>
      </c>
      <c r="S38" s="115" t="s">
        <v>179</v>
      </c>
      <c r="T38" s="115">
        <v>3</v>
      </c>
      <c r="U38" s="115"/>
      <c r="V38" s="115" t="s">
        <v>183</v>
      </c>
      <c r="W38" s="115" t="s">
        <v>177</v>
      </c>
      <c r="X38" s="115"/>
      <c r="Y38" s="115"/>
      <c r="Z38" s="115"/>
      <c r="AA38" s="115"/>
      <c r="AB38" s="115"/>
      <c r="AC38" s="115"/>
      <c r="AD38" s="115">
        <v>60</v>
      </c>
      <c r="AE38" s="115">
        <v>9.6</v>
      </c>
      <c r="AF38" s="115">
        <v>300</v>
      </c>
      <c r="AG38" s="115">
        <v>6</v>
      </c>
      <c r="AH38" s="115">
        <v>7</v>
      </c>
      <c r="AI38" s="115">
        <v>1030</v>
      </c>
      <c r="AJ38" s="115" t="s">
        <v>180</v>
      </c>
      <c r="AK38" s="115">
        <v>20</v>
      </c>
      <c r="AL38" s="115"/>
      <c r="AM38" s="115">
        <v>5</v>
      </c>
      <c r="AN38" s="116" t="s">
        <v>224</v>
      </c>
      <c r="AO38" s="117">
        <v>0</v>
      </c>
      <c r="AP38" s="115">
        <v>3</v>
      </c>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spans="1:72">
      <c r="A39" s="115">
        <v>9</v>
      </c>
      <c r="B39" s="115" t="s">
        <v>227</v>
      </c>
      <c r="C39" s="115" t="s">
        <v>179</v>
      </c>
      <c r="D39" s="115">
        <v>288029936</v>
      </c>
      <c r="E39" s="115" t="s">
        <v>204</v>
      </c>
      <c r="F39" s="115" t="s">
        <v>88</v>
      </c>
      <c r="G39" s="115">
        <v>1</v>
      </c>
      <c r="H39" s="115" t="s">
        <v>155</v>
      </c>
      <c r="I39" s="115" t="s">
        <v>1</v>
      </c>
      <c r="J39" s="115" t="s">
        <v>176</v>
      </c>
      <c r="K39" s="115" t="s">
        <v>186</v>
      </c>
      <c r="L39" s="115" t="s">
        <v>1</v>
      </c>
      <c r="M39" s="115" t="s">
        <v>22</v>
      </c>
      <c r="N39" s="115">
        <v>6</v>
      </c>
      <c r="O39" s="115">
        <v>1</v>
      </c>
      <c r="P39" s="115">
        <v>0</v>
      </c>
      <c r="Q39" s="115">
        <v>2</v>
      </c>
      <c r="R39" s="115">
        <v>0</v>
      </c>
      <c r="S39" s="115" t="s">
        <v>155</v>
      </c>
      <c r="T39" s="115">
        <v>3</v>
      </c>
      <c r="U39" s="115"/>
      <c r="V39" s="115"/>
      <c r="W39" s="115"/>
      <c r="X39" s="115"/>
      <c r="Y39" s="115"/>
      <c r="Z39" s="115"/>
      <c r="AA39" s="115"/>
      <c r="AB39" s="115"/>
      <c r="AC39" s="115"/>
      <c r="AD39" s="115">
        <v>59</v>
      </c>
      <c r="AE39" s="115">
        <v>9.1999999999999993</v>
      </c>
      <c r="AF39" s="115">
        <v>300</v>
      </c>
      <c r="AG39" s="115">
        <v>6</v>
      </c>
      <c r="AH39" s="115">
        <v>7</v>
      </c>
      <c r="AI39" s="115">
        <v>1030</v>
      </c>
      <c r="AJ39" s="115" t="s">
        <v>180</v>
      </c>
      <c r="AK39" s="115">
        <v>2</v>
      </c>
      <c r="AL39" s="115"/>
      <c r="AM39" s="115">
        <v>2</v>
      </c>
      <c r="AN39" s="116" t="s">
        <v>231</v>
      </c>
      <c r="AO39" s="117">
        <v>0</v>
      </c>
      <c r="AP39" s="115">
        <v>4</v>
      </c>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spans="1:72">
      <c r="A40" s="115">
        <v>10</v>
      </c>
      <c r="B40" s="115" t="s">
        <v>227</v>
      </c>
      <c r="C40" s="115" t="s">
        <v>179</v>
      </c>
      <c r="D40" s="115">
        <v>281191224</v>
      </c>
      <c r="E40" s="115" t="s">
        <v>199</v>
      </c>
      <c r="F40" s="115" t="s">
        <v>111</v>
      </c>
      <c r="G40" s="115">
        <v>2</v>
      </c>
      <c r="H40" s="115" t="s">
        <v>22</v>
      </c>
      <c r="I40" s="115" t="s">
        <v>155</v>
      </c>
      <c r="J40" s="115" t="s">
        <v>200</v>
      </c>
      <c r="K40" s="115" t="s">
        <v>189</v>
      </c>
      <c r="L40" s="115"/>
      <c r="M40" s="115"/>
      <c r="N40" s="115">
        <v>5</v>
      </c>
      <c r="O40" s="115">
        <v>0</v>
      </c>
      <c r="P40" s="115">
        <v>0</v>
      </c>
      <c r="Q40" s="115">
        <v>0</v>
      </c>
      <c r="R40" s="115">
        <v>0</v>
      </c>
      <c r="S40" s="115" t="s">
        <v>179</v>
      </c>
      <c r="T40" s="115">
        <v>1</v>
      </c>
      <c r="U40" s="115">
        <v>3</v>
      </c>
      <c r="V40" s="115"/>
      <c r="W40" s="115"/>
      <c r="X40" s="115"/>
      <c r="Y40" s="115"/>
      <c r="Z40" s="115"/>
      <c r="AA40" s="115"/>
      <c r="AB40" s="115"/>
      <c r="AC40" s="115"/>
      <c r="AD40" s="115">
        <v>74</v>
      </c>
      <c r="AE40" s="115">
        <v>17.3</v>
      </c>
      <c r="AF40" s="115">
        <v>300</v>
      </c>
      <c r="AG40" s="115">
        <v>6</v>
      </c>
      <c r="AH40" s="115">
        <v>7</v>
      </c>
      <c r="AI40" s="115">
        <v>1030</v>
      </c>
      <c r="AJ40" s="115" t="s">
        <v>180</v>
      </c>
      <c r="AK40" s="115">
        <v>7</v>
      </c>
      <c r="AL40" s="115"/>
      <c r="AM40" s="115"/>
      <c r="AN40" s="116"/>
      <c r="AO40" s="117">
        <v>1</v>
      </c>
      <c r="AP40" s="115">
        <v>4</v>
      </c>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spans="1:72">
      <c r="A41" s="115">
        <v>7</v>
      </c>
      <c r="B41" s="115" t="s">
        <v>207</v>
      </c>
      <c r="C41" s="115" t="s">
        <v>179</v>
      </c>
      <c r="D41" s="115">
        <v>288029935</v>
      </c>
      <c r="E41" s="115" t="s">
        <v>204</v>
      </c>
      <c r="F41" s="115" t="s">
        <v>88</v>
      </c>
      <c r="G41" s="115">
        <v>5</v>
      </c>
      <c r="H41" s="115" t="s">
        <v>1</v>
      </c>
      <c r="I41" s="115" t="s">
        <v>185</v>
      </c>
      <c r="J41" s="115" t="s">
        <v>182</v>
      </c>
      <c r="K41" s="115" t="s">
        <v>177</v>
      </c>
      <c r="L41" s="115" t="s">
        <v>178</v>
      </c>
      <c r="M41" s="115"/>
      <c r="N41" s="115"/>
      <c r="O41" s="115">
        <v>0</v>
      </c>
      <c r="P41" s="115">
        <v>3</v>
      </c>
      <c r="Q41" s="115">
        <v>0</v>
      </c>
      <c r="R41" s="115" t="s">
        <v>179</v>
      </c>
      <c r="S41" s="115">
        <v>0</v>
      </c>
      <c r="T41" s="115">
        <v>3</v>
      </c>
      <c r="U41" s="115"/>
      <c r="V41" s="115"/>
      <c r="W41" s="115" t="s">
        <v>185</v>
      </c>
      <c r="X41" s="115"/>
      <c r="Y41" s="115"/>
      <c r="Z41" s="115"/>
      <c r="AA41" s="115"/>
      <c r="AB41" s="115"/>
      <c r="AC41" s="115"/>
      <c r="AD41" s="115">
        <v>56</v>
      </c>
      <c r="AE41" s="115">
        <v>10</v>
      </c>
      <c r="AF41" s="115">
        <v>300</v>
      </c>
      <c r="AG41" s="115">
        <v>6</v>
      </c>
      <c r="AH41" s="115">
        <v>7</v>
      </c>
      <c r="AI41" s="115">
        <v>1040</v>
      </c>
      <c r="AJ41" s="115" t="s">
        <v>180</v>
      </c>
      <c r="AK41" s="115">
        <v>5</v>
      </c>
      <c r="AL41" s="115"/>
      <c r="AM41" s="115"/>
      <c r="AN41" s="116"/>
      <c r="AO41" s="117">
        <v>0</v>
      </c>
      <c r="AP41" s="115">
        <v>2</v>
      </c>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spans="1:72">
      <c r="A42" s="115">
        <v>16</v>
      </c>
      <c r="B42" s="115" t="s">
        <v>174</v>
      </c>
      <c r="C42" s="115" t="s">
        <v>157</v>
      </c>
      <c r="D42" s="115">
        <v>262127373</v>
      </c>
      <c r="E42" s="115" t="s">
        <v>206</v>
      </c>
      <c r="F42" s="115" t="s">
        <v>105</v>
      </c>
      <c r="G42" s="115">
        <v>6</v>
      </c>
      <c r="H42" s="115" t="s">
        <v>22</v>
      </c>
      <c r="I42" s="115"/>
      <c r="J42" s="115" t="s">
        <v>188</v>
      </c>
      <c r="K42" s="115" t="s">
        <v>186</v>
      </c>
      <c r="L42" s="115" t="s">
        <v>22</v>
      </c>
      <c r="M42" s="115"/>
      <c r="N42" s="115"/>
      <c r="O42" s="115">
        <v>3</v>
      </c>
      <c r="P42" s="115">
        <v>0</v>
      </c>
      <c r="Q42" s="115">
        <v>1</v>
      </c>
      <c r="R42" s="115">
        <v>0</v>
      </c>
      <c r="S42" s="115" t="s">
        <v>179</v>
      </c>
      <c r="T42" s="115">
        <v>2</v>
      </c>
      <c r="U42" s="115"/>
      <c r="V42" s="115" t="s">
        <v>178</v>
      </c>
      <c r="W42" s="115" t="s">
        <v>178</v>
      </c>
      <c r="X42" s="115"/>
      <c r="Y42" s="115"/>
      <c r="Z42" s="115"/>
      <c r="AA42" s="115" t="s">
        <v>178</v>
      </c>
      <c r="AB42" s="115"/>
      <c r="AC42" s="115"/>
      <c r="AD42" s="115">
        <v>80</v>
      </c>
      <c r="AE42" s="115">
        <v>24.9</v>
      </c>
      <c r="AF42" s="115">
        <v>300</v>
      </c>
      <c r="AG42" s="115">
        <v>6</v>
      </c>
      <c r="AH42" s="115">
        <v>7</v>
      </c>
      <c r="AI42" s="115">
        <v>1130</v>
      </c>
      <c r="AJ42" s="115" t="s">
        <v>180</v>
      </c>
      <c r="AK42" s="115">
        <v>20</v>
      </c>
      <c r="AL42" s="115"/>
      <c r="AM42" s="115"/>
      <c r="AN42" s="116"/>
      <c r="AO42" s="117" t="s">
        <v>157</v>
      </c>
      <c r="AP42" s="115">
        <v>1</v>
      </c>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c r="A43" s="115">
        <v>8</v>
      </c>
      <c r="B43" s="115" t="s">
        <v>216</v>
      </c>
      <c r="C43" s="115" t="s">
        <v>157</v>
      </c>
      <c r="D43" s="115">
        <v>291032212</v>
      </c>
      <c r="E43" s="115" t="s">
        <v>225</v>
      </c>
      <c r="F43" s="115" t="s">
        <v>122</v>
      </c>
      <c r="G43" s="115">
        <v>1</v>
      </c>
      <c r="H43" s="115" t="s">
        <v>22</v>
      </c>
      <c r="I43" s="115" t="s">
        <v>178</v>
      </c>
      <c r="J43" s="115" t="s">
        <v>188</v>
      </c>
      <c r="K43" s="115" t="s">
        <v>177</v>
      </c>
      <c r="L43" s="115" t="s">
        <v>178</v>
      </c>
      <c r="M43" s="115"/>
      <c r="N43" s="115"/>
      <c r="O43" s="115">
        <v>0</v>
      </c>
      <c r="P43" s="115">
        <v>1</v>
      </c>
      <c r="Q43" s="115">
        <v>1</v>
      </c>
      <c r="R43" s="115"/>
      <c r="S43" s="115" t="s">
        <v>179</v>
      </c>
      <c r="T43" s="115">
        <v>4</v>
      </c>
      <c r="U43" s="115"/>
      <c r="V43" s="115"/>
      <c r="W43" s="115"/>
      <c r="X43" s="115"/>
      <c r="Y43" s="115"/>
      <c r="Z43" s="115"/>
      <c r="AA43" s="115"/>
      <c r="AB43" s="115"/>
      <c r="AC43" s="115"/>
      <c r="AD43" s="115">
        <v>52</v>
      </c>
      <c r="AE43" s="115">
        <v>9.6</v>
      </c>
      <c r="AF43" s="115">
        <v>300</v>
      </c>
      <c r="AG43" s="115">
        <v>6</v>
      </c>
      <c r="AH43" s="115">
        <v>7</v>
      </c>
      <c r="AI43" s="115">
        <v>1130</v>
      </c>
      <c r="AJ43" s="115" t="s">
        <v>180</v>
      </c>
      <c r="AK43" s="115">
        <v>21</v>
      </c>
      <c r="AL43" s="115"/>
      <c r="AM43" s="115">
        <v>6</v>
      </c>
      <c r="AN43" s="116" t="s">
        <v>226</v>
      </c>
      <c r="AO43" s="117" t="s">
        <v>157</v>
      </c>
      <c r="AP43" s="115">
        <v>3</v>
      </c>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c r="A44" s="115">
        <v>5</v>
      </c>
      <c r="B44" s="115" t="s">
        <v>207</v>
      </c>
      <c r="C44" s="115" t="s">
        <v>179</v>
      </c>
      <c r="D44" s="115">
        <v>288029939</v>
      </c>
      <c r="E44" s="115" t="s">
        <v>204</v>
      </c>
      <c r="F44" s="115" t="s">
        <v>88</v>
      </c>
      <c r="G44" s="115">
        <v>2</v>
      </c>
      <c r="H44" s="115" t="s">
        <v>183</v>
      </c>
      <c r="I44" s="115"/>
      <c r="J44" s="115" t="s">
        <v>232</v>
      </c>
      <c r="K44" s="115" t="s">
        <v>189</v>
      </c>
      <c r="L44" s="115"/>
      <c r="M44" s="115"/>
      <c r="N44" s="115"/>
      <c r="O44" s="115">
        <v>0</v>
      </c>
      <c r="P44" s="115">
        <v>3</v>
      </c>
      <c r="Q44" s="115">
        <v>0</v>
      </c>
      <c r="R44" s="115">
        <v>0</v>
      </c>
      <c r="S44" s="115" t="s">
        <v>179</v>
      </c>
      <c r="T44" s="115">
        <v>1</v>
      </c>
      <c r="U44" s="115">
        <v>3</v>
      </c>
      <c r="V44" s="115" t="s">
        <v>183</v>
      </c>
      <c r="W44" s="115"/>
      <c r="X44" s="115"/>
      <c r="Y44" s="115"/>
      <c r="Z44" s="115"/>
      <c r="AA44" s="115" t="s">
        <v>183</v>
      </c>
      <c r="AB44" s="115" t="s">
        <v>183</v>
      </c>
      <c r="AC44" s="115"/>
      <c r="AD44" s="115">
        <v>55</v>
      </c>
      <c r="AE44" s="115">
        <v>9.1999999999999993</v>
      </c>
      <c r="AF44" s="115">
        <v>300</v>
      </c>
      <c r="AG44" s="115">
        <v>6</v>
      </c>
      <c r="AH44" s="115">
        <v>12</v>
      </c>
      <c r="AI44" s="115">
        <v>9</v>
      </c>
      <c r="AJ44" s="115" t="s">
        <v>180</v>
      </c>
      <c r="AK44" s="115">
        <v>20</v>
      </c>
      <c r="AL44" s="115"/>
      <c r="AM44" s="115"/>
      <c r="AN44" s="116"/>
      <c r="AO44" s="117">
        <v>0</v>
      </c>
      <c r="AP44" s="115">
        <v>2</v>
      </c>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c r="A45" s="115">
        <v>8</v>
      </c>
      <c r="B45" s="115" t="s">
        <v>174</v>
      </c>
      <c r="C45" s="115" t="s">
        <v>157</v>
      </c>
      <c r="D45" s="115">
        <v>131215188</v>
      </c>
      <c r="E45" s="115" t="s">
        <v>191</v>
      </c>
      <c r="F45" s="115" t="s">
        <v>99</v>
      </c>
      <c r="G45" s="115">
        <v>5</v>
      </c>
      <c r="H45" s="115" t="s">
        <v>22</v>
      </c>
      <c r="I45" s="115"/>
      <c r="J45" s="115" t="s">
        <v>182</v>
      </c>
      <c r="K45" s="115" t="s">
        <v>177</v>
      </c>
      <c r="L45" s="115" t="s">
        <v>178</v>
      </c>
      <c r="M45" s="115" t="s">
        <v>22</v>
      </c>
      <c r="N45" s="115"/>
      <c r="O45" s="115">
        <v>0</v>
      </c>
      <c r="P45" s="115">
        <v>2</v>
      </c>
      <c r="Q45" s="115">
        <v>3</v>
      </c>
      <c r="R45" s="115">
        <v>0</v>
      </c>
      <c r="S45" s="115" t="s">
        <v>179</v>
      </c>
      <c r="T45" s="115">
        <v>2</v>
      </c>
      <c r="U45" s="115"/>
      <c r="V45" s="115" t="s">
        <v>183</v>
      </c>
      <c r="W45" s="115"/>
      <c r="X45" s="115"/>
      <c r="Y45" s="115"/>
      <c r="Z45" s="115"/>
      <c r="AA45" s="115" t="s">
        <v>183</v>
      </c>
      <c r="AB45" s="115"/>
      <c r="AC45" s="115"/>
      <c r="AD45" s="115">
        <v>128</v>
      </c>
      <c r="AE45" s="115">
        <v>82.8</v>
      </c>
      <c r="AF45" s="115">
        <v>300</v>
      </c>
      <c r="AG45" s="115">
        <v>6</v>
      </c>
      <c r="AH45" s="115">
        <v>12</v>
      </c>
      <c r="AI45" s="115">
        <v>10</v>
      </c>
      <c r="AJ45" s="115" t="s">
        <v>180</v>
      </c>
      <c r="AK45" s="115">
        <v>0</v>
      </c>
      <c r="AL45" s="115"/>
      <c r="AM45" s="115"/>
      <c r="AN45" s="116"/>
      <c r="AO45" s="117" t="s">
        <v>157</v>
      </c>
      <c r="AP45" s="115">
        <v>1</v>
      </c>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c r="A46" s="115">
        <v>8</v>
      </c>
      <c r="B46" s="115" t="s">
        <v>207</v>
      </c>
      <c r="C46" s="115" t="s">
        <v>179</v>
      </c>
      <c r="D46" s="115">
        <v>288029940</v>
      </c>
      <c r="E46" s="115" t="s">
        <v>228</v>
      </c>
      <c r="F46" s="115" t="s">
        <v>120</v>
      </c>
      <c r="G46" s="115">
        <v>2</v>
      </c>
      <c r="H46" s="115" t="s">
        <v>183</v>
      </c>
      <c r="I46" s="115"/>
      <c r="J46" s="115" t="s">
        <v>200</v>
      </c>
      <c r="K46" s="115" t="s">
        <v>189</v>
      </c>
      <c r="L46" s="115"/>
      <c r="M46" s="115"/>
      <c r="N46" s="115">
        <v>2</v>
      </c>
      <c r="O46" s="115">
        <v>0</v>
      </c>
      <c r="P46" s="115">
        <v>0</v>
      </c>
      <c r="Q46" s="115">
        <v>1</v>
      </c>
      <c r="R46" s="115">
        <v>2</v>
      </c>
      <c r="S46" s="115">
        <v>0</v>
      </c>
      <c r="T46" s="115">
        <v>0</v>
      </c>
      <c r="U46" s="115">
        <v>3</v>
      </c>
      <c r="V46" s="115" t="s">
        <v>183</v>
      </c>
      <c r="W46" s="115"/>
      <c r="X46" s="115"/>
      <c r="Y46" s="115"/>
      <c r="Z46" s="115"/>
      <c r="AA46" s="115"/>
      <c r="AB46" s="115" t="s">
        <v>183</v>
      </c>
      <c r="AC46" s="115"/>
      <c r="AD46" s="115">
        <v>54</v>
      </c>
      <c r="AE46" s="115"/>
      <c r="AF46" s="115">
        <v>300</v>
      </c>
      <c r="AG46" s="115">
        <v>6</v>
      </c>
      <c r="AH46" s="115">
        <v>12</v>
      </c>
      <c r="AI46" s="115">
        <v>10</v>
      </c>
      <c r="AJ46" s="115" t="s">
        <v>180</v>
      </c>
      <c r="AK46" s="115">
        <v>15</v>
      </c>
      <c r="AL46" s="115"/>
      <c r="AM46" s="115"/>
      <c r="AN46" s="116"/>
      <c r="AO46" s="117">
        <v>0</v>
      </c>
      <c r="AP46" s="115">
        <v>2</v>
      </c>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c r="A47" s="115">
        <v>5</v>
      </c>
      <c r="B47" s="115" t="s">
        <v>227</v>
      </c>
      <c r="C47" s="115" t="s">
        <v>179</v>
      </c>
      <c r="D47" s="115">
        <v>135291870</v>
      </c>
      <c r="E47" s="119" t="s">
        <v>181</v>
      </c>
      <c r="F47" s="115" t="s">
        <v>115</v>
      </c>
      <c r="G47" s="115">
        <v>5</v>
      </c>
      <c r="H47" s="115" t="s">
        <v>1</v>
      </c>
      <c r="I47" s="115" t="s">
        <v>22</v>
      </c>
      <c r="J47" s="115" t="s">
        <v>182</v>
      </c>
      <c r="K47" s="115" t="s">
        <v>186</v>
      </c>
      <c r="L47" s="115" t="s">
        <v>1</v>
      </c>
      <c r="M47" s="115" t="s">
        <v>22</v>
      </c>
      <c r="N47" s="115">
        <v>5</v>
      </c>
      <c r="O47" s="115">
        <v>3</v>
      </c>
      <c r="P47" s="115">
        <v>0</v>
      </c>
      <c r="Q47" s="115">
        <v>0</v>
      </c>
      <c r="R47" s="115">
        <v>0</v>
      </c>
      <c r="S47" s="115" t="s">
        <v>179</v>
      </c>
      <c r="T47" s="115">
        <v>3</v>
      </c>
      <c r="U47" s="115"/>
      <c r="V47" s="115" t="s">
        <v>183</v>
      </c>
      <c r="W47" s="115"/>
      <c r="X47" s="115"/>
      <c r="Y47" s="115"/>
      <c r="Z47" s="115"/>
      <c r="AA47" s="115"/>
      <c r="AB47" s="115"/>
      <c r="AC47" s="115"/>
      <c r="AD47" s="115">
        <v>80</v>
      </c>
      <c r="AE47" s="115">
        <v>39</v>
      </c>
      <c r="AF47" s="115">
        <v>300</v>
      </c>
      <c r="AG47" s="115">
        <v>6</v>
      </c>
      <c r="AH47" s="115">
        <v>12</v>
      </c>
      <c r="AI47" s="115">
        <v>10</v>
      </c>
      <c r="AJ47" s="115" t="s">
        <v>180</v>
      </c>
      <c r="AK47" s="115">
        <v>5</v>
      </c>
      <c r="AL47" s="115"/>
      <c r="AM47" s="115">
        <v>3</v>
      </c>
      <c r="AN47" s="116" t="s">
        <v>251</v>
      </c>
      <c r="AO47" s="118">
        <v>2</v>
      </c>
      <c r="AP47" s="115">
        <v>4</v>
      </c>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c r="A48" s="115">
        <v>6</v>
      </c>
      <c r="B48" s="115" t="s">
        <v>227</v>
      </c>
      <c r="C48" s="115" t="s">
        <v>179</v>
      </c>
      <c r="D48" s="115">
        <v>288029941</v>
      </c>
      <c r="E48" s="119" t="s">
        <v>228</v>
      </c>
      <c r="F48" s="115" t="s">
        <v>120</v>
      </c>
      <c r="G48" s="115">
        <v>2</v>
      </c>
      <c r="H48" s="115" t="s">
        <v>155</v>
      </c>
      <c r="I48" s="115" t="s">
        <v>22</v>
      </c>
      <c r="J48" s="115" t="s">
        <v>200</v>
      </c>
      <c r="K48" s="115" t="s">
        <v>189</v>
      </c>
      <c r="L48" s="115"/>
      <c r="M48" s="115"/>
      <c r="N48" s="115">
        <v>3</v>
      </c>
      <c r="O48" s="115">
        <v>0</v>
      </c>
      <c r="P48" s="115">
        <v>0</v>
      </c>
      <c r="Q48" s="115">
        <v>1</v>
      </c>
      <c r="R48" s="115">
        <v>2</v>
      </c>
      <c r="S48" s="115" t="s">
        <v>179</v>
      </c>
      <c r="T48" s="115">
        <v>1</v>
      </c>
      <c r="U48" s="115">
        <v>3</v>
      </c>
      <c r="V48" s="115"/>
      <c r="W48" s="115"/>
      <c r="X48" s="115"/>
      <c r="Y48" s="115"/>
      <c r="Z48" s="115"/>
      <c r="AA48" s="115"/>
      <c r="AB48" s="115"/>
      <c r="AC48" s="115"/>
      <c r="AD48" s="115">
        <v>54</v>
      </c>
      <c r="AE48" s="115">
        <v>8</v>
      </c>
      <c r="AF48" s="115">
        <v>300</v>
      </c>
      <c r="AG48" s="115">
        <v>6</v>
      </c>
      <c r="AH48" s="115">
        <v>12</v>
      </c>
      <c r="AI48" s="115">
        <v>10</v>
      </c>
      <c r="AJ48" s="115" t="s">
        <v>180</v>
      </c>
      <c r="AK48" s="115">
        <v>15</v>
      </c>
      <c r="AL48" s="115"/>
      <c r="AM48" s="115"/>
      <c r="AN48" s="116"/>
      <c r="AO48" s="118">
        <v>0</v>
      </c>
      <c r="AP48" s="115">
        <v>4</v>
      </c>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c r="A49" s="115">
        <v>10</v>
      </c>
      <c r="B49" s="115" t="s">
        <v>174</v>
      </c>
      <c r="C49" s="115" t="s">
        <v>189</v>
      </c>
      <c r="D49" s="115"/>
      <c r="E49" s="115" t="s">
        <v>192</v>
      </c>
      <c r="F49" s="115" t="s">
        <v>37</v>
      </c>
      <c r="G49" s="115">
        <v>2</v>
      </c>
      <c r="H49" s="115" t="s">
        <v>183</v>
      </c>
      <c r="I49" s="115" t="s">
        <v>220</v>
      </c>
      <c r="J49" s="115" t="s">
        <v>232</v>
      </c>
      <c r="K49" s="115" t="s">
        <v>186</v>
      </c>
      <c r="L49" s="115" t="s">
        <v>183</v>
      </c>
      <c r="M49" s="115"/>
      <c r="N49" s="115"/>
      <c r="O49" s="115"/>
      <c r="P49" s="115"/>
      <c r="Q49" s="115"/>
      <c r="R49" s="115"/>
      <c r="S49" s="115"/>
      <c r="T49" s="115"/>
      <c r="U49" s="115"/>
      <c r="V49" s="115"/>
      <c r="W49" s="115"/>
      <c r="X49" s="115"/>
      <c r="Y49" s="115"/>
      <c r="Z49" s="115"/>
      <c r="AA49" s="115"/>
      <c r="AB49" s="115"/>
      <c r="AC49" s="115"/>
      <c r="AD49" s="115"/>
      <c r="AE49" s="115"/>
      <c r="AF49" s="115"/>
      <c r="AG49" s="115">
        <v>6</v>
      </c>
      <c r="AH49" s="115">
        <v>12</v>
      </c>
      <c r="AI49" s="115">
        <v>11</v>
      </c>
      <c r="AJ49" s="115" t="s">
        <v>180</v>
      </c>
      <c r="AK49" s="115">
        <v>14</v>
      </c>
      <c r="AL49" s="115"/>
      <c r="AM49" s="115"/>
      <c r="AN49" s="116"/>
      <c r="AO49" s="117" t="s">
        <v>189</v>
      </c>
      <c r="AP49" s="115">
        <v>1</v>
      </c>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c r="A50" s="115">
        <v>8</v>
      </c>
      <c r="B50" s="115" t="s">
        <v>227</v>
      </c>
      <c r="C50" s="115" t="s">
        <v>157</v>
      </c>
      <c r="D50" s="115">
        <v>172176223</v>
      </c>
      <c r="E50" s="115" t="s">
        <v>194</v>
      </c>
      <c r="F50" s="115" t="s">
        <v>98</v>
      </c>
      <c r="G50" s="115">
        <v>1</v>
      </c>
      <c r="H50" s="115" t="s">
        <v>155</v>
      </c>
      <c r="I50" s="115" t="s">
        <v>1</v>
      </c>
      <c r="J50" s="115" t="s">
        <v>176</v>
      </c>
      <c r="K50" s="115" t="s">
        <v>186</v>
      </c>
      <c r="L50" s="115" t="s">
        <v>1</v>
      </c>
      <c r="M50" s="115" t="s">
        <v>22</v>
      </c>
      <c r="N50" s="115">
        <v>5</v>
      </c>
      <c r="O50" s="115">
        <v>3</v>
      </c>
      <c r="P50" s="115">
        <v>0</v>
      </c>
      <c r="Q50" s="115">
        <v>0</v>
      </c>
      <c r="R50" s="115">
        <v>0</v>
      </c>
      <c r="S50" s="115" t="s">
        <v>179</v>
      </c>
      <c r="T50" s="115">
        <v>2</v>
      </c>
      <c r="U50" s="115"/>
      <c r="V50" s="115"/>
      <c r="W50" s="115"/>
      <c r="X50" s="115"/>
      <c r="Y50" s="115"/>
      <c r="Z50" s="115"/>
      <c r="AA50" s="115"/>
      <c r="AB50" s="115"/>
      <c r="AC50" s="115"/>
      <c r="AD50" s="115">
        <v>96</v>
      </c>
      <c r="AE50" s="115">
        <v>30.8</v>
      </c>
      <c r="AF50" s="115">
        <v>300</v>
      </c>
      <c r="AG50" s="115">
        <v>6</v>
      </c>
      <c r="AH50" s="115">
        <v>12</v>
      </c>
      <c r="AI50" s="115">
        <v>11</v>
      </c>
      <c r="AJ50" s="115" t="s">
        <v>180</v>
      </c>
      <c r="AK50" s="115">
        <v>2</v>
      </c>
      <c r="AL50" s="115"/>
      <c r="AM50" s="115"/>
      <c r="AN50" s="116"/>
      <c r="AO50" s="117" t="s">
        <v>157</v>
      </c>
      <c r="AP50" s="115">
        <v>4</v>
      </c>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c r="A51" s="115">
        <v>7</v>
      </c>
      <c r="B51" s="115" t="s">
        <v>227</v>
      </c>
      <c r="C51" s="115" t="s">
        <v>179</v>
      </c>
      <c r="D51" s="115">
        <v>290077832</v>
      </c>
      <c r="E51" s="115" t="s">
        <v>235</v>
      </c>
      <c r="F51" s="115" t="s">
        <v>70</v>
      </c>
      <c r="G51" s="115">
        <v>1</v>
      </c>
      <c r="H51" s="115" t="s">
        <v>155</v>
      </c>
      <c r="I51" s="115"/>
      <c r="J51" s="115" t="s">
        <v>176</v>
      </c>
      <c r="K51" s="115" t="s">
        <v>189</v>
      </c>
      <c r="L51" s="115"/>
      <c r="M51" s="115"/>
      <c r="N51" s="115">
        <v>6</v>
      </c>
      <c r="O51" s="115">
        <v>0</v>
      </c>
      <c r="P51" s="115">
        <v>0</v>
      </c>
      <c r="Q51" s="115">
        <v>1</v>
      </c>
      <c r="R51" s="115">
        <v>0</v>
      </c>
      <c r="S51" s="115" t="s">
        <v>179</v>
      </c>
      <c r="T51" s="115">
        <v>4</v>
      </c>
      <c r="U51" s="115"/>
      <c r="V51" s="115"/>
      <c r="W51" s="115"/>
      <c r="X51" s="115"/>
      <c r="Y51" s="115"/>
      <c r="Z51" s="115"/>
      <c r="AA51" s="115"/>
      <c r="AB51" s="115"/>
      <c r="AC51" s="115"/>
      <c r="AD51" s="115">
        <v>58</v>
      </c>
      <c r="AE51" s="115">
        <v>9.9</v>
      </c>
      <c r="AF51" s="115">
        <v>300</v>
      </c>
      <c r="AG51" s="115">
        <v>6</v>
      </c>
      <c r="AH51" s="115">
        <v>12</v>
      </c>
      <c r="AI51" s="115">
        <v>1130</v>
      </c>
      <c r="AJ51" s="115" t="s">
        <v>180</v>
      </c>
      <c r="AK51" s="115">
        <v>6</v>
      </c>
      <c r="AL51" s="115"/>
      <c r="AM51" s="115">
        <v>4</v>
      </c>
      <c r="AN51" s="116" t="s">
        <v>252</v>
      </c>
      <c r="AO51" s="117" t="s">
        <v>215</v>
      </c>
      <c r="AP51" s="115">
        <v>4</v>
      </c>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spans="1:72">
      <c r="A52" s="115">
        <v>1</v>
      </c>
      <c r="B52" s="115" t="s">
        <v>174</v>
      </c>
      <c r="C52" s="115" t="s">
        <v>189</v>
      </c>
      <c r="D52" s="115"/>
      <c r="E52" s="119" t="s">
        <v>193</v>
      </c>
      <c r="F52" s="115" t="s">
        <v>32</v>
      </c>
      <c r="G52" s="115">
        <v>2</v>
      </c>
      <c r="H52" s="115" t="s">
        <v>220</v>
      </c>
      <c r="I52" s="115" t="s">
        <v>183</v>
      </c>
      <c r="J52" s="115" t="s">
        <v>232</v>
      </c>
      <c r="K52" s="115" t="s">
        <v>177</v>
      </c>
      <c r="L52" s="115" t="s">
        <v>22</v>
      </c>
      <c r="M52" s="115"/>
      <c r="N52" s="115"/>
      <c r="O52" s="115"/>
      <c r="P52" s="115"/>
      <c r="Q52" s="115"/>
      <c r="R52" s="115"/>
      <c r="S52" s="115"/>
      <c r="T52" s="115"/>
      <c r="U52" s="115"/>
      <c r="V52" s="115"/>
      <c r="W52" s="115"/>
      <c r="X52" s="115"/>
      <c r="Y52" s="115"/>
      <c r="Z52" s="115"/>
      <c r="AA52" s="115"/>
      <c r="AB52" s="115"/>
      <c r="AC52" s="115"/>
      <c r="AD52" s="115"/>
      <c r="AE52" s="115"/>
      <c r="AF52" s="115"/>
      <c r="AG52" s="115">
        <v>6</v>
      </c>
      <c r="AH52" s="115">
        <v>12</v>
      </c>
      <c r="AI52" s="115">
        <v>610</v>
      </c>
      <c r="AJ52" s="115" t="s">
        <v>180</v>
      </c>
      <c r="AK52" s="115">
        <v>14</v>
      </c>
      <c r="AL52" s="115"/>
      <c r="AM52" s="115"/>
      <c r="AN52" s="116"/>
      <c r="AO52" s="117" t="s">
        <v>189</v>
      </c>
      <c r="AP52" s="115">
        <v>1</v>
      </c>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spans="1:72">
      <c r="A53" s="115">
        <v>1</v>
      </c>
      <c r="B53" s="115" t="s">
        <v>207</v>
      </c>
      <c r="C53" s="115" t="s">
        <v>157</v>
      </c>
      <c r="D53" s="115">
        <v>135291818</v>
      </c>
      <c r="E53" s="115" t="s">
        <v>191</v>
      </c>
      <c r="F53" s="115" t="s">
        <v>99</v>
      </c>
      <c r="G53" s="115">
        <v>6</v>
      </c>
      <c r="H53" s="115" t="s">
        <v>22</v>
      </c>
      <c r="I53" s="115"/>
      <c r="J53" s="115" t="s">
        <v>188</v>
      </c>
      <c r="K53" s="115" t="s">
        <v>186</v>
      </c>
      <c r="L53" s="115" t="s">
        <v>1</v>
      </c>
      <c r="M53" s="115"/>
      <c r="N53" s="115"/>
      <c r="O53" s="115">
        <v>3</v>
      </c>
      <c r="P53" s="115">
        <v>0</v>
      </c>
      <c r="Q53" s="115">
        <v>1</v>
      </c>
      <c r="R53" s="115">
        <v>0</v>
      </c>
      <c r="S53" s="115" t="s">
        <v>179</v>
      </c>
      <c r="T53" s="115">
        <v>3</v>
      </c>
      <c r="U53" s="115"/>
      <c r="V53" s="115" t="s">
        <v>178</v>
      </c>
      <c r="W53" s="115" t="s">
        <v>178</v>
      </c>
      <c r="X53" s="115"/>
      <c r="Y53" s="115"/>
      <c r="Z53" s="115"/>
      <c r="AA53" s="115" t="s">
        <v>189</v>
      </c>
      <c r="AB53" s="115"/>
      <c r="AC53" s="115"/>
      <c r="AD53" s="115">
        <v>135</v>
      </c>
      <c r="AE53" s="115"/>
      <c r="AF53" s="115">
        <v>300</v>
      </c>
      <c r="AG53" s="115">
        <v>6</v>
      </c>
      <c r="AH53" s="115">
        <v>12</v>
      </c>
      <c r="AI53" s="115">
        <v>630</v>
      </c>
      <c r="AJ53" s="115" t="s">
        <v>180</v>
      </c>
      <c r="AK53" s="115">
        <v>20</v>
      </c>
      <c r="AL53" s="115"/>
      <c r="AM53" s="115"/>
      <c r="AN53" s="116"/>
      <c r="AO53" s="118" t="s">
        <v>157</v>
      </c>
      <c r="AP53" s="115">
        <v>2</v>
      </c>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spans="1:72">
      <c r="A54" s="115">
        <v>2</v>
      </c>
      <c r="B54" s="115" t="s">
        <v>174</v>
      </c>
      <c r="C54" s="115" t="s">
        <v>189</v>
      </c>
      <c r="D54" s="115"/>
      <c r="E54" s="115" t="s">
        <v>192</v>
      </c>
      <c r="F54" s="115" t="s">
        <v>37</v>
      </c>
      <c r="G54" s="115">
        <v>2</v>
      </c>
      <c r="H54" s="115" t="s">
        <v>220</v>
      </c>
      <c r="I54" s="115" t="s">
        <v>183</v>
      </c>
      <c r="J54" s="115" t="s">
        <v>232</v>
      </c>
      <c r="K54" s="115" t="s">
        <v>186</v>
      </c>
      <c r="L54" s="115" t="s">
        <v>22</v>
      </c>
      <c r="M54" s="115"/>
      <c r="N54" s="115"/>
      <c r="O54" s="115"/>
      <c r="P54" s="115"/>
      <c r="Q54" s="115"/>
      <c r="R54" s="115"/>
      <c r="S54" s="115"/>
      <c r="T54" s="115"/>
      <c r="U54" s="115"/>
      <c r="V54" s="115"/>
      <c r="W54" s="115"/>
      <c r="X54" s="115"/>
      <c r="Y54" s="115"/>
      <c r="Z54" s="115"/>
      <c r="AA54" s="115"/>
      <c r="AB54" s="115"/>
      <c r="AC54" s="115"/>
      <c r="AD54" s="115"/>
      <c r="AE54" s="115"/>
      <c r="AF54" s="115"/>
      <c r="AG54" s="115">
        <v>6</v>
      </c>
      <c r="AH54" s="115">
        <v>12</v>
      </c>
      <c r="AI54" s="115">
        <v>640</v>
      </c>
      <c r="AJ54" s="115" t="s">
        <v>180</v>
      </c>
      <c r="AK54" s="115">
        <v>21</v>
      </c>
      <c r="AL54" s="115"/>
      <c r="AM54" s="115"/>
      <c r="AN54" s="116"/>
      <c r="AO54" s="118" t="s">
        <v>189</v>
      </c>
      <c r="AP54" s="115">
        <v>1</v>
      </c>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spans="1:72">
      <c r="A55" s="115">
        <v>1</v>
      </c>
      <c r="B55" s="115" t="s">
        <v>227</v>
      </c>
      <c r="C55" s="119" t="s">
        <v>179</v>
      </c>
      <c r="D55" s="115">
        <v>290077830</v>
      </c>
      <c r="E55" s="115" t="s">
        <v>247</v>
      </c>
      <c r="F55" s="115" t="s">
        <v>96</v>
      </c>
      <c r="G55" s="115">
        <v>1</v>
      </c>
      <c r="H55" s="115" t="s">
        <v>155</v>
      </c>
      <c r="I55" s="115" t="s">
        <v>1</v>
      </c>
      <c r="J55" s="115" t="s">
        <v>176</v>
      </c>
      <c r="K55" s="115" t="s">
        <v>186</v>
      </c>
      <c r="L55" s="115" t="s">
        <v>1</v>
      </c>
      <c r="M55" s="115" t="s">
        <v>22</v>
      </c>
      <c r="N55" s="115">
        <v>6</v>
      </c>
      <c r="O55" s="115">
        <v>3</v>
      </c>
      <c r="P55" s="115">
        <v>0</v>
      </c>
      <c r="Q55" s="115">
        <v>1</v>
      </c>
      <c r="R55" s="115">
        <v>0</v>
      </c>
      <c r="S55" s="115" t="s">
        <v>179</v>
      </c>
      <c r="T55" s="115">
        <v>4</v>
      </c>
      <c r="U55" s="115"/>
      <c r="V55" s="115"/>
      <c r="W55" s="115"/>
      <c r="X55" s="115"/>
      <c r="Y55" s="115"/>
      <c r="Z55" s="115"/>
      <c r="AA55" s="115"/>
      <c r="AB55" s="115"/>
      <c r="AC55" s="115"/>
      <c r="AD55" s="115">
        <v>55</v>
      </c>
      <c r="AE55" s="115">
        <v>5.6</v>
      </c>
      <c r="AF55" s="115">
        <v>300</v>
      </c>
      <c r="AG55" s="115">
        <v>6</v>
      </c>
      <c r="AH55" s="115">
        <v>12</v>
      </c>
      <c r="AI55" s="115">
        <v>640</v>
      </c>
      <c r="AJ55" s="115" t="s">
        <v>180</v>
      </c>
      <c r="AK55" s="115">
        <v>7</v>
      </c>
      <c r="AL55" s="115"/>
      <c r="AM55" s="115"/>
      <c r="AN55" s="116"/>
      <c r="AO55" s="118" t="s">
        <v>215</v>
      </c>
      <c r="AP55" s="115">
        <v>4</v>
      </c>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spans="1:72">
      <c r="A56" s="115">
        <v>3</v>
      </c>
      <c r="B56" s="115" t="s">
        <v>174</v>
      </c>
      <c r="C56" s="115" t="s">
        <v>157</v>
      </c>
      <c r="D56" s="115">
        <v>178168889</v>
      </c>
      <c r="E56" s="115" t="s">
        <v>181</v>
      </c>
      <c r="F56" s="115" t="s">
        <v>115</v>
      </c>
      <c r="G56" s="115">
        <v>6</v>
      </c>
      <c r="H56" s="115" t="s">
        <v>22</v>
      </c>
      <c r="I56" s="115"/>
      <c r="J56" s="115" t="s">
        <v>188</v>
      </c>
      <c r="K56" s="115" t="s">
        <v>186</v>
      </c>
      <c r="L56" s="115" t="s">
        <v>22</v>
      </c>
      <c r="M56" s="115"/>
      <c r="N56" s="115"/>
      <c r="O56" s="115">
        <v>3</v>
      </c>
      <c r="P56" s="115">
        <v>0</v>
      </c>
      <c r="Q56" s="115">
        <v>1</v>
      </c>
      <c r="R56" s="115">
        <v>0</v>
      </c>
      <c r="S56" s="115" t="s">
        <v>155</v>
      </c>
      <c r="T56" s="115">
        <v>2</v>
      </c>
      <c r="U56" s="115"/>
      <c r="V56" s="115" t="s">
        <v>178</v>
      </c>
      <c r="W56" s="115" t="s">
        <v>178</v>
      </c>
      <c r="X56" s="115"/>
      <c r="Y56" s="115"/>
      <c r="Z56" s="115"/>
      <c r="AA56" s="115" t="s">
        <v>178</v>
      </c>
      <c r="AB56" s="115"/>
      <c r="AC56" s="115"/>
      <c r="AD56" s="115">
        <v>84</v>
      </c>
      <c r="AE56" s="115">
        <v>37.1</v>
      </c>
      <c r="AF56" s="115">
        <v>300</v>
      </c>
      <c r="AG56" s="115">
        <v>6</v>
      </c>
      <c r="AH56" s="115">
        <v>12</v>
      </c>
      <c r="AI56" s="115">
        <v>710</v>
      </c>
      <c r="AJ56" s="115" t="s">
        <v>180</v>
      </c>
      <c r="AK56" s="115">
        <v>8</v>
      </c>
      <c r="AL56" s="115"/>
      <c r="AM56" s="115">
        <v>1</v>
      </c>
      <c r="AN56" s="116" t="s">
        <v>233</v>
      </c>
      <c r="AO56" s="117" t="s">
        <v>157</v>
      </c>
      <c r="AP56" s="115">
        <v>1</v>
      </c>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spans="1:72">
      <c r="A57" s="115">
        <v>2</v>
      </c>
      <c r="B57" s="115" t="s">
        <v>207</v>
      </c>
      <c r="C57" s="115" t="s">
        <v>157</v>
      </c>
      <c r="D57" s="115">
        <v>135291845</v>
      </c>
      <c r="E57" s="115" t="s">
        <v>191</v>
      </c>
      <c r="F57" s="115" t="s">
        <v>99</v>
      </c>
      <c r="G57" s="115">
        <v>6</v>
      </c>
      <c r="H57" s="115" t="s">
        <v>22</v>
      </c>
      <c r="I57" s="115"/>
      <c r="J57" s="115" t="s">
        <v>188</v>
      </c>
      <c r="K57" s="115" t="s">
        <v>177</v>
      </c>
      <c r="L57" s="115" t="s">
        <v>178</v>
      </c>
      <c r="M57" s="115"/>
      <c r="N57" s="115"/>
      <c r="O57" s="115">
        <v>0</v>
      </c>
      <c r="P57" s="115">
        <v>3</v>
      </c>
      <c r="Q57" s="115">
        <v>1</v>
      </c>
      <c r="R57" s="115">
        <v>0</v>
      </c>
      <c r="S57" s="115" t="s">
        <v>179</v>
      </c>
      <c r="T57" s="115">
        <v>1</v>
      </c>
      <c r="U57" s="115"/>
      <c r="V57" s="115" t="s">
        <v>178</v>
      </c>
      <c r="W57" s="115" t="s">
        <v>178</v>
      </c>
      <c r="X57" s="115"/>
      <c r="Y57" s="115"/>
      <c r="Z57" s="115"/>
      <c r="AA57" s="115" t="s">
        <v>178</v>
      </c>
      <c r="AB57" s="115"/>
      <c r="AC57" s="115"/>
      <c r="AD57" s="115">
        <v>130</v>
      </c>
      <c r="AE57" s="115"/>
      <c r="AF57" s="115">
        <v>300</v>
      </c>
      <c r="AG57" s="115">
        <v>6</v>
      </c>
      <c r="AH57" s="115">
        <v>12</v>
      </c>
      <c r="AI57" s="115">
        <v>710</v>
      </c>
      <c r="AJ57" s="115" t="s">
        <v>180</v>
      </c>
      <c r="AK57" s="115">
        <v>9</v>
      </c>
      <c r="AL57" s="115"/>
      <c r="AM57" s="115"/>
      <c r="AN57" s="116"/>
      <c r="AO57" s="117" t="s">
        <v>157</v>
      </c>
      <c r="AP57" s="115">
        <v>2</v>
      </c>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spans="1:72">
      <c r="A58" s="115">
        <v>1</v>
      </c>
      <c r="B58" s="115" t="s">
        <v>216</v>
      </c>
      <c r="C58" s="115" t="s">
        <v>179</v>
      </c>
      <c r="D58" s="115">
        <v>290077831</v>
      </c>
      <c r="E58" s="115" t="s">
        <v>241</v>
      </c>
      <c r="F58" s="115" t="s">
        <v>126</v>
      </c>
      <c r="G58" s="115">
        <v>1</v>
      </c>
      <c r="H58" s="115" t="s">
        <v>22</v>
      </c>
      <c r="I58" s="115"/>
      <c r="J58" s="115" t="s">
        <v>188</v>
      </c>
      <c r="K58" s="115" t="s">
        <v>186</v>
      </c>
      <c r="L58" s="115" t="s">
        <v>22</v>
      </c>
      <c r="M58" s="115"/>
      <c r="N58" s="115"/>
      <c r="O58" s="115">
        <v>1</v>
      </c>
      <c r="P58" s="115">
        <v>0</v>
      </c>
      <c r="Q58" s="115"/>
      <c r="R58" s="115"/>
      <c r="S58" s="115"/>
      <c r="T58" s="115"/>
      <c r="U58" s="115"/>
      <c r="V58" s="115"/>
      <c r="W58" s="115"/>
      <c r="X58" s="115"/>
      <c r="Y58" s="115"/>
      <c r="Z58" s="115"/>
      <c r="AA58" s="115"/>
      <c r="AB58" s="115"/>
      <c r="AC58" s="115"/>
      <c r="AD58" s="115">
        <v>59</v>
      </c>
      <c r="AE58" s="115">
        <v>8.3000000000000007</v>
      </c>
      <c r="AF58" s="115">
        <v>300</v>
      </c>
      <c r="AG58" s="115">
        <v>6</v>
      </c>
      <c r="AH58" s="115">
        <v>12</v>
      </c>
      <c r="AI58" s="115">
        <v>710</v>
      </c>
      <c r="AJ58" s="115" t="s">
        <v>180</v>
      </c>
      <c r="AK58" s="115">
        <v>15</v>
      </c>
      <c r="AL58" s="115" t="s">
        <v>197</v>
      </c>
      <c r="AM58" s="115">
        <v>1</v>
      </c>
      <c r="AN58" s="116" t="s">
        <v>242</v>
      </c>
      <c r="AO58" s="117" t="s">
        <v>215</v>
      </c>
      <c r="AP58" s="115">
        <v>3</v>
      </c>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spans="1:72">
      <c r="A59" s="115">
        <v>4</v>
      </c>
      <c r="B59" s="115" t="s">
        <v>174</v>
      </c>
      <c r="C59" s="115" t="s">
        <v>189</v>
      </c>
      <c r="D59" s="115"/>
      <c r="E59" s="115" t="s">
        <v>192</v>
      </c>
      <c r="F59" s="115" t="s">
        <v>37</v>
      </c>
      <c r="G59" s="115">
        <v>5</v>
      </c>
      <c r="H59" s="115" t="s">
        <v>22</v>
      </c>
      <c r="I59" s="115"/>
      <c r="J59" s="115" t="s">
        <v>188</v>
      </c>
      <c r="K59" s="115" t="s">
        <v>177</v>
      </c>
      <c r="L59" s="115" t="s">
        <v>22</v>
      </c>
      <c r="M59" s="115"/>
      <c r="N59" s="115"/>
      <c r="O59" s="115"/>
      <c r="P59" s="115"/>
      <c r="Q59" s="115"/>
      <c r="R59" s="115"/>
      <c r="S59" s="115"/>
      <c r="T59" s="115"/>
      <c r="U59" s="115"/>
      <c r="V59" s="115"/>
      <c r="W59" s="115"/>
      <c r="X59" s="115"/>
      <c r="Y59" s="115"/>
      <c r="Z59" s="115"/>
      <c r="AA59" s="115"/>
      <c r="AB59" s="115"/>
      <c r="AC59" s="115"/>
      <c r="AD59" s="115"/>
      <c r="AE59" s="115"/>
      <c r="AF59" s="115"/>
      <c r="AG59" s="115">
        <v>6</v>
      </c>
      <c r="AH59" s="115">
        <v>12</v>
      </c>
      <c r="AI59" s="115">
        <v>740</v>
      </c>
      <c r="AJ59" s="115" t="s">
        <v>180</v>
      </c>
      <c r="AK59" s="115">
        <v>21</v>
      </c>
      <c r="AL59" s="115"/>
      <c r="AM59" s="115"/>
      <c r="AN59" s="116"/>
      <c r="AO59" s="118" t="s">
        <v>189</v>
      </c>
      <c r="AP59" s="115">
        <v>1</v>
      </c>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spans="1:72">
      <c r="A60" s="115">
        <v>3</v>
      </c>
      <c r="B60" s="115" t="s">
        <v>207</v>
      </c>
      <c r="C60" s="115" t="s">
        <v>157</v>
      </c>
      <c r="D60" s="115">
        <v>284053841</v>
      </c>
      <c r="E60" s="115" t="s">
        <v>187</v>
      </c>
      <c r="F60" s="115" t="s">
        <v>72</v>
      </c>
      <c r="G60" s="115">
        <v>5</v>
      </c>
      <c r="H60" s="115" t="s">
        <v>185</v>
      </c>
      <c r="I60" s="115"/>
      <c r="J60" s="115" t="s">
        <v>182</v>
      </c>
      <c r="K60" s="115" t="s">
        <v>189</v>
      </c>
      <c r="L60" s="115"/>
      <c r="M60" s="115"/>
      <c r="N60" s="115"/>
      <c r="O60" s="115">
        <v>0</v>
      </c>
      <c r="P60" s="115">
        <v>2</v>
      </c>
      <c r="Q60" s="115">
        <v>0</v>
      </c>
      <c r="R60" s="115">
        <v>0</v>
      </c>
      <c r="S60" s="115" t="s">
        <v>179</v>
      </c>
      <c r="T60" s="115">
        <v>1</v>
      </c>
      <c r="U60" s="115"/>
      <c r="V60" s="115" t="s">
        <v>177</v>
      </c>
      <c r="W60" s="115" t="s">
        <v>185</v>
      </c>
      <c r="X60" s="115"/>
      <c r="Y60" s="115"/>
      <c r="Z60" s="115"/>
      <c r="AA60" s="115"/>
      <c r="AB60" s="115"/>
      <c r="AC60" s="115"/>
      <c r="AD60" s="115"/>
      <c r="AE60" s="115">
        <v>11.4</v>
      </c>
      <c r="AF60" s="115">
        <v>300</v>
      </c>
      <c r="AG60" s="115">
        <v>6</v>
      </c>
      <c r="AH60" s="115">
        <v>12</v>
      </c>
      <c r="AI60" s="115">
        <v>740</v>
      </c>
      <c r="AJ60" s="115" t="s">
        <v>180</v>
      </c>
      <c r="AK60" s="115">
        <v>10</v>
      </c>
      <c r="AL60" s="115"/>
      <c r="AM60" s="115">
        <v>1</v>
      </c>
      <c r="AN60" s="116" t="s">
        <v>239</v>
      </c>
      <c r="AO60" s="118" t="s">
        <v>157</v>
      </c>
      <c r="AP60" s="115">
        <v>2</v>
      </c>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spans="1:72">
      <c r="A61" s="115">
        <v>2</v>
      </c>
      <c r="B61" s="115" t="s">
        <v>227</v>
      </c>
      <c r="C61" s="115" t="s">
        <v>179</v>
      </c>
      <c r="D61" s="115">
        <v>172176235</v>
      </c>
      <c r="E61" s="115" t="s">
        <v>194</v>
      </c>
      <c r="F61" s="115" t="s">
        <v>98</v>
      </c>
      <c r="G61" s="115">
        <v>1</v>
      </c>
      <c r="H61" s="115" t="s">
        <v>155</v>
      </c>
      <c r="I61" s="115" t="s">
        <v>1</v>
      </c>
      <c r="J61" s="115" t="s">
        <v>176</v>
      </c>
      <c r="K61" s="115" t="s">
        <v>186</v>
      </c>
      <c r="L61" s="115" t="s">
        <v>1</v>
      </c>
      <c r="M61" s="115" t="s">
        <v>22</v>
      </c>
      <c r="N61" s="115">
        <v>5</v>
      </c>
      <c r="O61" s="115">
        <v>3</v>
      </c>
      <c r="P61" s="115">
        <v>0</v>
      </c>
      <c r="Q61" s="115">
        <v>0</v>
      </c>
      <c r="R61" s="115">
        <v>0</v>
      </c>
      <c r="S61" s="115" t="s">
        <v>179</v>
      </c>
      <c r="T61" s="115">
        <v>3</v>
      </c>
      <c r="U61" s="115"/>
      <c r="V61" s="115"/>
      <c r="W61" s="115"/>
      <c r="X61" s="115"/>
      <c r="Y61" s="115"/>
      <c r="Z61" s="115"/>
      <c r="AA61" s="115"/>
      <c r="AB61" s="115"/>
      <c r="AC61" s="115"/>
      <c r="AD61" s="115">
        <v>92</v>
      </c>
      <c r="AE61" s="115">
        <v>28.6</v>
      </c>
      <c r="AF61" s="115">
        <v>300</v>
      </c>
      <c r="AG61" s="115">
        <v>6</v>
      </c>
      <c r="AH61" s="115">
        <v>12</v>
      </c>
      <c r="AI61" s="115">
        <v>740</v>
      </c>
      <c r="AJ61" s="115" t="s">
        <v>180</v>
      </c>
      <c r="AK61" s="115">
        <v>20</v>
      </c>
      <c r="AL61" s="115"/>
      <c r="AM61" s="115"/>
      <c r="AN61" s="116"/>
      <c r="AO61" s="117" t="s">
        <v>203</v>
      </c>
      <c r="AP61" s="115">
        <v>4</v>
      </c>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spans="1:72">
      <c r="A62" s="115">
        <v>2</v>
      </c>
      <c r="B62" s="115" t="s">
        <v>216</v>
      </c>
      <c r="C62" s="115" t="s">
        <v>157</v>
      </c>
      <c r="D62" s="115">
        <v>283105290</v>
      </c>
      <c r="E62" s="115" t="s">
        <v>194</v>
      </c>
      <c r="F62" s="115" t="s">
        <v>98</v>
      </c>
      <c r="G62" s="115">
        <v>1</v>
      </c>
      <c r="H62" s="115" t="s">
        <v>22</v>
      </c>
      <c r="I62" s="115"/>
      <c r="J62" s="115" t="s">
        <v>188</v>
      </c>
      <c r="K62" s="115" t="s">
        <v>177</v>
      </c>
      <c r="L62" s="115" t="s">
        <v>178</v>
      </c>
      <c r="M62" s="115"/>
      <c r="N62" s="115"/>
      <c r="O62" s="115">
        <v>0</v>
      </c>
      <c r="P62" s="115">
        <v>3</v>
      </c>
      <c r="Q62" s="115">
        <v>0</v>
      </c>
      <c r="R62" s="115">
        <v>0</v>
      </c>
      <c r="S62" s="115" t="s">
        <v>179</v>
      </c>
      <c r="T62" s="115">
        <v>2</v>
      </c>
      <c r="U62" s="115"/>
      <c r="V62" s="115"/>
      <c r="W62" s="115"/>
      <c r="X62" s="115"/>
      <c r="Y62" s="115"/>
      <c r="Z62" s="115"/>
      <c r="AA62" s="115" t="s">
        <v>178</v>
      </c>
      <c r="AB62" s="115"/>
      <c r="AC62" s="115"/>
      <c r="AD62" s="115">
        <v>95</v>
      </c>
      <c r="AE62" s="115">
        <v>34.799999999999997</v>
      </c>
      <c r="AF62" s="115">
        <v>300</v>
      </c>
      <c r="AG62" s="115">
        <v>6</v>
      </c>
      <c r="AH62" s="115">
        <v>12</v>
      </c>
      <c r="AI62" s="115">
        <v>810</v>
      </c>
      <c r="AJ62" s="115" t="s">
        <v>180</v>
      </c>
      <c r="AK62" s="115">
        <v>14</v>
      </c>
      <c r="AL62" s="115"/>
      <c r="AM62" s="115">
        <v>2</v>
      </c>
      <c r="AN62" s="116" t="s">
        <v>243</v>
      </c>
      <c r="AO62" s="117" t="s">
        <v>157</v>
      </c>
      <c r="AP62" s="115">
        <v>3</v>
      </c>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spans="1:72">
      <c r="A63" s="115">
        <v>4</v>
      </c>
      <c r="B63" s="115" t="s">
        <v>207</v>
      </c>
      <c r="C63" s="115" t="s">
        <v>189</v>
      </c>
      <c r="D63" s="115"/>
      <c r="E63" s="115" t="s">
        <v>192</v>
      </c>
      <c r="F63" s="115" t="s">
        <v>37</v>
      </c>
      <c r="G63" s="115">
        <v>2</v>
      </c>
      <c r="H63" s="115" t="s">
        <v>220</v>
      </c>
      <c r="I63" s="115" t="s">
        <v>22</v>
      </c>
      <c r="J63" s="115" t="s">
        <v>232</v>
      </c>
      <c r="K63" s="115" t="s">
        <v>177</v>
      </c>
      <c r="L63" s="115" t="s">
        <v>22</v>
      </c>
      <c r="M63" s="115"/>
      <c r="N63" s="115"/>
      <c r="O63" s="115"/>
      <c r="P63" s="115"/>
      <c r="Q63" s="115"/>
      <c r="R63" s="115"/>
      <c r="S63" s="115"/>
      <c r="T63" s="115"/>
      <c r="U63" s="115"/>
      <c r="V63" s="115"/>
      <c r="W63" s="115"/>
      <c r="X63" s="115"/>
      <c r="Y63" s="115"/>
      <c r="Z63" s="115"/>
      <c r="AA63" s="115"/>
      <c r="AB63" s="115" t="s">
        <v>183</v>
      </c>
      <c r="AC63" s="115"/>
      <c r="AD63" s="115"/>
      <c r="AE63" s="115"/>
      <c r="AF63" s="115"/>
      <c r="AG63" s="115">
        <v>6</v>
      </c>
      <c r="AH63" s="115">
        <v>12</v>
      </c>
      <c r="AI63" s="115">
        <v>830</v>
      </c>
      <c r="AJ63" s="115" t="s">
        <v>180</v>
      </c>
      <c r="AK63" s="115">
        <v>6</v>
      </c>
      <c r="AL63" s="115"/>
      <c r="AM63" s="115"/>
      <c r="AN63" s="116"/>
      <c r="AO63" s="117" t="s">
        <v>189</v>
      </c>
      <c r="AP63" s="115">
        <v>2</v>
      </c>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spans="1:72">
      <c r="A64" s="115">
        <v>5</v>
      </c>
      <c r="B64" s="115" t="s">
        <v>174</v>
      </c>
      <c r="C64" s="115" t="s">
        <v>157</v>
      </c>
      <c r="D64" s="115">
        <v>282018289</v>
      </c>
      <c r="E64" s="115" t="s">
        <v>204</v>
      </c>
      <c r="F64" s="115" t="s">
        <v>88</v>
      </c>
      <c r="G64" s="115">
        <v>5</v>
      </c>
      <c r="H64" s="115" t="s">
        <v>22</v>
      </c>
      <c r="I64" s="115"/>
      <c r="J64" s="115" t="s">
        <v>176</v>
      </c>
      <c r="K64" s="115" t="s">
        <v>189</v>
      </c>
      <c r="L64" s="115"/>
      <c r="M64" s="115"/>
      <c r="N64" s="115"/>
      <c r="O64" s="115">
        <v>0</v>
      </c>
      <c r="P64" s="115">
        <v>0</v>
      </c>
      <c r="Q64" s="115">
        <v>1</v>
      </c>
      <c r="R64" s="115">
        <v>0</v>
      </c>
      <c r="S64" s="115" t="s">
        <v>179</v>
      </c>
      <c r="T64" s="115">
        <v>2</v>
      </c>
      <c r="U64" s="115"/>
      <c r="V64" s="115"/>
      <c r="W64" s="115"/>
      <c r="X64" s="115"/>
      <c r="Y64" s="115"/>
      <c r="Z64" s="115"/>
      <c r="AA64" s="115"/>
      <c r="AB64" s="115"/>
      <c r="AC64" s="115"/>
      <c r="AD64" s="115">
        <v>60</v>
      </c>
      <c r="AE64" s="115">
        <v>9.4</v>
      </c>
      <c r="AF64" s="115">
        <v>300</v>
      </c>
      <c r="AG64" s="115">
        <v>6</v>
      </c>
      <c r="AH64" s="115">
        <v>12</v>
      </c>
      <c r="AI64" s="115">
        <v>840</v>
      </c>
      <c r="AJ64" s="115" t="s">
        <v>180</v>
      </c>
      <c r="AK64" s="115">
        <v>20</v>
      </c>
      <c r="AL64" s="115"/>
      <c r="AM64" s="115"/>
      <c r="AN64" s="116"/>
      <c r="AO64" s="117" t="s">
        <v>157</v>
      </c>
      <c r="AP64" s="115">
        <v>1</v>
      </c>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spans="1:72">
      <c r="A65" s="115">
        <v>6</v>
      </c>
      <c r="B65" s="115" t="s">
        <v>174</v>
      </c>
      <c r="C65" s="115" t="s">
        <v>179</v>
      </c>
      <c r="D65" s="115">
        <v>281191225</v>
      </c>
      <c r="E65" s="115" t="s">
        <v>206</v>
      </c>
      <c r="F65" s="115" t="s">
        <v>105</v>
      </c>
      <c r="G65" s="115">
        <v>6</v>
      </c>
      <c r="H65" s="115" t="s">
        <v>22</v>
      </c>
      <c r="I65" s="115"/>
      <c r="J65" s="115" t="s">
        <v>188</v>
      </c>
      <c r="K65" s="115" t="s">
        <v>177</v>
      </c>
      <c r="L65" s="115" t="s">
        <v>178</v>
      </c>
      <c r="M65" s="115"/>
      <c r="N65" s="115"/>
      <c r="O65" s="115">
        <v>0</v>
      </c>
      <c r="P65" s="115">
        <v>4</v>
      </c>
      <c r="Q65" s="115">
        <v>1</v>
      </c>
      <c r="R65" s="115">
        <v>0</v>
      </c>
      <c r="S65" s="115" t="s">
        <v>179</v>
      </c>
      <c r="T65" s="115">
        <v>2</v>
      </c>
      <c r="U65" s="115"/>
      <c r="V65" s="115" t="s">
        <v>178</v>
      </c>
      <c r="W65" s="115"/>
      <c r="X65" s="115"/>
      <c r="Y65" s="115"/>
      <c r="Z65" s="115"/>
      <c r="AA65" s="115" t="s">
        <v>178</v>
      </c>
      <c r="AB65" s="115"/>
      <c r="AC65" s="115"/>
      <c r="AD65" s="115">
        <v>76</v>
      </c>
      <c r="AE65" s="115">
        <v>25.3</v>
      </c>
      <c r="AF65" s="115">
        <v>300</v>
      </c>
      <c r="AG65" s="115">
        <v>6</v>
      </c>
      <c r="AH65" s="115">
        <v>12</v>
      </c>
      <c r="AI65" s="115">
        <v>840</v>
      </c>
      <c r="AJ65" s="115" t="s">
        <v>180</v>
      </c>
      <c r="AK65" s="115">
        <v>7</v>
      </c>
      <c r="AL65" s="115"/>
      <c r="AM65" s="115"/>
      <c r="AN65" s="116"/>
      <c r="AO65" s="117">
        <v>1</v>
      </c>
      <c r="AP65" s="115">
        <v>1</v>
      </c>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spans="1:72">
      <c r="A66" s="115">
        <v>3</v>
      </c>
      <c r="B66" s="115" t="s">
        <v>216</v>
      </c>
      <c r="C66" s="115" t="s">
        <v>157</v>
      </c>
      <c r="D66" s="115">
        <v>172176225</v>
      </c>
      <c r="E66" s="115" t="s">
        <v>194</v>
      </c>
      <c r="F66" s="115" t="s">
        <v>98</v>
      </c>
      <c r="G66" s="115">
        <v>1</v>
      </c>
      <c r="H66" s="115" t="s">
        <v>22</v>
      </c>
      <c r="I66" s="115"/>
      <c r="J66" s="115"/>
      <c r="K66" s="115"/>
      <c r="L66" s="115"/>
      <c r="M66" s="115"/>
      <c r="N66" s="115"/>
      <c r="O66" s="115">
        <v>2</v>
      </c>
      <c r="P66" s="115">
        <v>0</v>
      </c>
      <c r="Q66" s="115">
        <v>0</v>
      </c>
      <c r="R66" s="115">
        <v>0</v>
      </c>
      <c r="S66" s="115" t="s">
        <v>179</v>
      </c>
      <c r="T66" s="115">
        <v>2</v>
      </c>
      <c r="U66" s="115"/>
      <c r="V66" s="115"/>
      <c r="W66" s="115"/>
      <c r="X66" s="115"/>
      <c r="Y66" s="115"/>
      <c r="Z66" s="115"/>
      <c r="AA66" s="115"/>
      <c r="AB66" s="115"/>
      <c r="AC66" s="115"/>
      <c r="AD66" s="115">
        <v>95</v>
      </c>
      <c r="AE66" s="115">
        <v>29.2</v>
      </c>
      <c r="AF66" s="115">
        <v>300</v>
      </c>
      <c r="AG66" s="115">
        <v>6</v>
      </c>
      <c r="AH66" s="115">
        <v>12</v>
      </c>
      <c r="AI66" s="115">
        <v>840</v>
      </c>
      <c r="AJ66" s="115" t="s">
        <v>180</v>
      </c>
      <c r="AK66" s="115">
        <v>21</v>
      </c>
      <c r="AL66" s="115"/>
      <c r="AM66" s="115">
        <v>3</v>
      </c>
      <c r="AN66" s="116" t="s">
        <v>244</v>
      </c>
      <c r="AO66" s="117" t="s">
        <v>157</v>
      </c>
      <c r="AP66" s="115">
        <v>3</v>
      </c>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spans="1:72">
      <c r="A67" s="115">
        <v>3</v>
      </c>
      <c r="B67" s="115" t="s">
        <v>227</v>
      </c>
      <c r="C67" s="115" t="s">
        <v>179</v>
      </c>
      <c r="D67" s="115">
        <v>172176236</v>
      </c>
      <c r="E67" s="115" t="s">
        <v>248</v>
      </c>
      <c r="F67" s="115" t="s">
        <v>102</v>
      </c>
      <c r="G67" s="115">
        <v>5</v>
      </c>
      <c r="H67" s="115" t="s">
        <v>22</v>
      </c>
      <c r="I67" s="115"/>
      <c r="J67" s="115" t="s">
        <v>182</v>
      </c>
      <c r="K67" s="115" t="s">
        <v>186</v>
      </c>
      <c r="L67" s="115" t="s">
        <v>1</v>
      </c>
      <c r="M67" s="115" t="s">
        <v>22</v>
      </c>
      <c r="N67" s="115">
        <v>6</v>
      </c>
      <c r="O67" s="115">
        <v>3</v>
      </c>
      <c r="P67" s="115">
        <v>0</v>
      </c>
      <c r="Q67" s="115">
        <v>0</v>
      </c>
      <c r="R67" s="115">
        <v>0</v>
      </c>
      <c r="S67" s="115" t="s">
        <v>179</v>
      </c>
      <c r="T67" s="115">
        <v>1</v>
      </c>
      <c r="U67" s="115"/>
      <c r="V67" s="115"/>
      <c r="W67" s="115"/>
      <c r="X67" s="115"/>
      <c r="Y67" s="115"/>
      <c r="Z67" s="115"/>
      <c r="AA67" s="115"/>
      <c r="AB67" s="115"/>
      <c r="AC67" s="115"/>
      <c r="AD67" s="115">
        <v>87</v>
      </c>
      <c r="AE67" s="115">
        <v>26.3</v>
      </c>
      <c r="AF67" s="115">
        <v>300</v>
      </c>
      <c r="AG67" s="115">
        <v>6</v>
      </c>
      <c r="AH67" s="115">
        <v>12</v>
      </c>
      <c r="AI67" s="115">
        <v>840</v>
      </c>
      <c r="AJ67" s="115" t="s">
        <v>180</v>
      </c>
      <c r="AK67" s="115">
        <v>21</v>
      </c>
      <c r="AL67" s="115"/>
      <c r="AM67" s="115">
        <v>1</v>
      </c>
      <c r="AN67" s="116" t="s">
        <v>249</v>
      </c>
      <c r="AO67" s="117" t="s">
        <v>203</v>
      </c>
      <c r="AP67" s="115">
        <v>4</v>
      </c>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spans="1:72">
      <c r="A68" s="115">
        <v>7</v>
      </c>
      <c r="B68" s="115" t="s">
        <v>174</v>
      </c>
      <c r="C68" s="115" t="s">
        <v>157</v>
      </c>
      <c r="D68" s="119">
        <v>281191226</v>
      </c>
      <c r="E68" s="115" t="s">
        <v>199</v>
      </c>
      <c r="F68" s="115" t="s">
        <v>111</v>
      </c>
      <c r="G68" s="115">
        <v>1</v>
      </c>
      <c r="H68" s="115" t="s">
        <v>22</v>
      </c>
      <c r="I68" s="115"/>
      <c r="J68" s="115" t="s">
        <v>176</v>
      </c>
      <c r="K68" s="115" t="s">
        <v>186</v>
      </c>
      <c r="L68" s="115" t="s">
        <v>22</v>
      </c>
      <c r="M68" s="115" t="s">
        <v>1</v>
      </c>
      <c r="N68" s="115"/>
      <c r="O68" s="115">
        <v>3</v>
      </c>
      <c r="P68" s="115">
        <v>0</v>
      </c>
      <c r="Q68" s="115">
        <v>0</v>
      </c>
      <c r="R68" s="115">
        <v>0</v>
      </c>
      <c r="S68" s="115" t="s">
        <v>179</v>
      </c>
      <c r="T68" s="115">
        <v>2</v>
      </c>
      <c r="U68" s="115"/>
      <c r="V68" s="115" t="s">
        <v>178</v>
      </c>
      <c r="W68" s="115"/>
      <c r="X68" s="115"/>
      <c r="Y68" s="115"/>
      <c r="Z68" s="115"/>
      <c r="AA68" s="115" t="s">
        <v>178</v>
      </c>
      <c r="AB68" s="115" t="s">
        <v>189</v>
      </c>
      <c r="AC68" s="115"/>
      <c r="AD68" s="115">
        <v>76</v>
      </c>
      <c r="AE68" s="115">
        <v>18.8</v>
      </c>
      <c r="AF68" s="115">
        <v>300</v>
      </c>
      <c r="AG68" s="115">
        <v>6</v>
      </c>
      <c r="AH68" s="115">
        <v>12</v>
      </c>
      <c r="AI68" s="115">
        <v>920</v>
      </c>
      <c r="AJ68" s="115" t="s">
        <v>180</v>
      </c>
      <c r="AK68" s="115">
        <v>10</v>
      </c>
      <c r="AL68" s="115"/>
      <c r="AM68" s="115">
        <v>2</v>
      </c>
      <c r="AN68" s="116" t="s">
        <v>234</v>
      </c>
      <c r="AO68" s="117" t="s">
        <v>157</v>
      </c>
      <c r="AP68" s="115">
        <v>1</v>
      </c>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spans="1:72">
      <c r="A69" s="115">
        <v>6</v>
      </c>
      <c r="B69" s="115" t="s">
        <v>207</v>
      </c>
      <c r="C69" s="115" t="s">
        <v>157</v>
      </c>
      <c r="D69" s="115">
        <v>135291845</v>
      </c>
      <c r="E69" s="115" t="s">
        <v>191</v>
      </c>
      <c r="F69" s="115" t="s">
        <v>99</v>
      </c>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v>6</v>
      </c>
      <c r="AH69" s="115">
        <v>12</v>
      </c>
      <c r="AI69" s="115">
        <v>920</v>
      </c>
      <c r="AJ69" s="115" t="s">
        <v>180</v>
      </c>
      <c r="AK69" s="115">
        <v>9</v>
      </c>
      <c r="AL69" s="115"/>
      <c r="AM69" s="115">
        <v>2</v>
      </c>
      <c r="AN69" s="116" t="s">
        <v>240</v>
      </c>
      <c r="AO69" s="117" t="s">
        <v>157</v>
      </c>
      <c r="AP69" s="115">
        <v>2</v>
      </c>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spans="1:72">
      <c r="A70" s="115">
        <v>7</v>
      </c>
      <c r="B70" s="115" t="s">
        <v>207</v>
      </c>
      <c r="C70" s="115" t="s">
        <v>189</v>
      </c>
      <c r="D70" s="115"/>
      <c r="E70" s="115" t="s">
        <v>192</v>
      </c>
      <c r="F70" s="115" t="s">
        <v>37</v>
      </c>
      <c r="G70" s="115">
        <v>2</v>
      </c>
      <c r="H70" s="115" t="s">
        <v>183</v>
      </c>
      <c r="I70" s="115"/>
      <c r="J70" s="115" t="s">
        <v>232</v>
      </c>
      <c r="K70" s="115" t="s">
        <v>189</v>
      </c>
      <c r="L70" s="115"/>
      <c r="M70" s="115"/>
      <c r="N70" s="115"/>
      <c r="O70" s="115"/>
      <c r="P70" s="115"/>
      <c r="Q70" s="115"/>
      <c r="R70" s="115"/>
      <c r="S70" s="115"/>
      <c r="T70" s="115"/>
      <c r="U70" s="115"/>
      <c r="V70" s="115"/>
      <c r="W70" s="115"/>
      <c r="X70" s="115"/>
      <c r="Y70" s="115"/>
      <c r="Z70" s="115"/>
      <c r="AA70" s="115"/>
      <c r="AB70" s="115" t="s">
        <v>183</v>
      </c>
      <c r="AC70" s="115"/>
      <c r="AD70" s="115"/>
      <c r="AE70" s="115"/>
      <c r="AF70" s="115"/>
      <c r="AG70" s="115">
        <v>6</v>
      </c>
      <c r="AH70" s="115">
        <v>12</v>
      </c>
      <c r="AI70" s="115">
        <v>920</v>
      </c>
      <c r="AJ70" s="115" t="s">
        <v>180</v>
      </c>
      <c r="AK70" s="115">
        <v>6</v>
      </c>
      <c r="AL70" s="115"/>
      <c r="AM70" s="115"/>
      <c r="AN70" s="116"/>
      <c r="AO70" s="117" t="s">
        <v>189</v>
      </c>
      <c r="AP70" s="115">
        <v>2</v>
      </c>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spans="1:72">
      <c r="A71" s="115">
        <v>4</v>
      </c>
      <c r="B71" s="115" t="s">
        <v>227</v>
      </c>
      <c r="C71" s="115" t="s">
        <v>179</v>
      </c>
      <c r="D71" s="115">
        <v>281191227</v>
      </c>
      <c r="E71" s="115" t="s">
        <v>199</v>
      </c>
      <c r="F71" s="115" t="s">
        <v>111</v>
      </c>
      <c r="G71" s="115">
        <v>1</v>
      </c>
      <c r="H71" s="115" t="s">
        <v>155</v>
      </c>
      <c r="I71" s="115" t="s">
        <v>178</v>
      </c>
      <c r="J71" s="115" t="s">
        <v>176</v>
      </c>
      <c r="K71" s="115" t="s">
        <v>177</v>
      </c>
      <c r="L71" s="115" t="s">
        <v>178</v>
      </c>
      <c r="M71" s="115" t="s">
        <v>22</v>
      </c>
      <c r="N71" s="115">
        <v>5</v>
      </c>
      <c r="O71" s="115">
        <v>0</v>
      </c>
      <c r="P71" s="115">
        <v>4</v>
      </c>
      <c r="Q71" s="115">
        <v>0</v>
      </c>
      <c r="R71" s="115">
        <v>0</v>
      </c>
      <c r="S71" s="115" t="s">
        <v>179</v>
      </c>
      <c r="T71" s="115">
        <v>2</v>
      </c>
      <c r="U71" s="115"/>
      <c r="V71" s="115"/>
      <c r="W71" s="115"/>
      <c r="X71" s="115"/>
      <c r="Y71" s="115"/>
      <c r="Z71" s="115"/>
      <c r="AA71" s="115"/>
      <c r="AB71" s="115"/>
      <c r="AC71" s="115"/>
      <c r="AD71" s="115">
        <v>71</v>
      </c>
      <c r="AE71" s="115">
        <v>17</v>
      </c>
      <c r="AF71" s="115">
        <v>300</v>
      </c>
      <c r="AG71" s="115">
        <v>6</v>
      </c>
      <c r="AH71" s="115">
        <v>12</v>
      </c>
      <c r="AI71" s="115">
        <v>920</v>
      </c>
      <c r="AJ71" s="115" t="s">
        <v>180</v>
      </c>
      <c r="AK71" s="115">
        <v>10</v>
      </c>
      <c r="AL71" s="115"/>
      <c r="AM71" s="115">
        <v>2</v>
      </c>
      <c r="AN71" s="116" t="s">
        <v>250</v>
      </c>
      <c r="AO71" s="118">
        <v>1</v>
      </c>
      <c r="AP71" s="115">
        <v>4</v>
      </c>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72">
      <c r="A72" s="115">
        <v>9</v>
      </c>
      <c r="B72" s="115" t="s">
        <v>174</v>
      </c>
      <c r="C72" s="115" t="s">
        <v>179</v>
      </c>
      <c r="D72" s="115">
        <v>290077833</v>
      </c>
      <c r="E72" s="115" t="s">
        <v>235</v>
      </c>
      <c r="F72" s="115" t="s">
        <v>70</v>
      </c>
      <c r="G72" s="115">
        <v>5</v>
      </c>
      <c r="H72" s="115" t="s">
        <v>22</v>
      </c>
      <c r="I72" s="115" t="s">
        <v>185</v>
      </c>
      <c r="J72" s="115" t="s">
        <v>236</v>
      </c>
      <c r="K72" s="115" t="s">
        <v>189</v>
      </c>
      <c r="L72" s="115"/>
      <c r="M72" s="115"/>
      <c r="N72" s="115"/>
      <c r="O72" s="115">
        <v>0</v>
      </c>
      <c r="P72" s="115">
        <v>0</v>
      </c>
      <c r="Q72" s="115">
        <v>1</v>
      </c>
      <c r="R72" s="115">
        <v>0</v>
      </c>
      <c r="S72" s="115" t="s">
        <v>179</v>
      </c>
      <c r="T72" s="115">
        <v>2</v>
      </c>
      <c r="U72" s="115"/>
      <c r="V72" s="115"/>
      <c r="W72" s="115" t="s">
        <v>185</v>
      </c>
      <c r="X72" s="115"/>
      <c r="Y72" s="115"/>
      <c r="Z72" s="115" t="s">
        <v>185</v>
      </c>
      <c r="AA72" s="115" t="s">
        <v>183</v>
      </c>
      <c r="AB72" s="115"/>
      <c r="AC72" s="115"/>
      <c r="AD72" s="115">
        <v>64</v>
      </c>
      <c r="AE72" s="115">
        <v>11.5</v>
      </c>
      <c r="AF72" s="115">
        <v>300</v>
      </c>
      <c r="AG72" s="115">
        <v>6</v>
      </c>
      <c r="AH72" s="115">
        <v>12</v>
      </c>
      <c r="AI72" s="115">
        <v>1030</v>
      </c>
      <c r="AJ72" s="115" t="s">
        <v>180</v>
      </c>
      <c r="AK72" s="115">
        <v>7</v>
      </c>
      <c r="AL72" s="115"/>
      <c r="AM72" s="115"/>
      <c r="AN72" s="116"/>
      <c r="AO72" s="117" t="s">
        <v>215</v>
      </c>
      <c r="AP72" s="115">
        <v>1</v>
      </c>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2">
      <c r="A73" s="115">
        <v>9</v>
      </c>
      <c r="B73" s="115" t="s">
        <v>207</v>
      </c>
      <c r="C73" s="115" t="s">
        <v>189</v>
      </c>
      <c r="D73" s="115"/>
      <c r="E73" s="115" t="s">
        <v>192</v>
      </c>
      <c r="F73" s="115" t="s">
        <v>37</v>
      </c>
      <c r="G73" s="115">
        <v>6</v>
      </c>
      <c r="H73" s="115" t="s">
        <v>22</v>
      </c>
      <c r="I73" s="115"/>
      <c r="J73" s="115" t="s">
        <v>188</v>
      </c>
      <c r="K73" s="115" t="s">
        <v>186</v>
      </c>
      <c r="L73" s="115" t="s">
        <v>22</v>
      </c>
      <c r="M73" s="115"/>
      <c r="N73" s="115"/>
      <c r="O73" s="115"/>
      <c r="P73" s="115"/>
      <c r="Q73" s="115"/>
      <c r="R73" s="115"/>
      <c r="S73" s="115"/>
      <c r="T73" s="115"/>
      <c r="U73" s="115"/>
      <c r="V73" s="115"/>
      <c r="W73" s="115"/>
      <c r="X73" s="115"/>
      <c r="Y73" s="115"/>
      <c r="Z73" s="115"/>
      <c r="AA73" s="115" t="s">
        <v>178</v>
      </c>
      <c r="AB73" s="115" t="s">
        <v>178</v>
      </c>
      <c r="AC73" s="115"/>
      <c r="AD73" s="115"/>
      <c r="AE73" s="115"/>
      <c r="AF73" s="115">
        <v>300</v>
      </c>
      <c r="AG73" s="115">
        <v>6</v>
      </c>
      <c r="AH73" s="115">
        <v>12</v>
      </c>
      <c r="AI73" s="115">
        <v>1120</v>
      </c>
      <c r="AJ73" s="115" t="s">
        <v>180</v>
      </c>
      <c r="AK73" s="115">
        <v>21</v>
      </c>
      <c r="AL73" s="115"/>
      <c r="AM73" s="115"/>
      <c r="AN73" s="116"/>
      <c r="AO73" s="117" t="s">
        <v>189</v>
      </c>
      <c r="AP73" s="115">
        <v>2</v>
      </c>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spans="1:72">
      <c r="A74" s="115">
        <v>11</v>
      </c>
      <c r="B74" s="115" t="s">
        <v>174</v>
      </c>
      <c r="C74" s="115" t="s">
        <v>179</v>
      </c>
      <c r="D74" s="115">
        <v>172176237</v>
      </c>
      <c r="E74" s="115" t="s">
        <v>175</v>
      </c>
      <c r="F74" s="115" t="s">
        <v>114</v>
      </c>
      <c r="G74" s="115">
        <v>1</v>
      </c>
      <c r="H74" s="115" t="s">
        <v>22</v>
      </c>
      <c r="I74" s="115"/>
      <c r="J74" s="115" t="s">
        <v>176</v>
      </c>
      <c r="K74" s="115" t="s">
        <v>186</v>
      </c>
      <c r="L74" s="115" t="s">
        <v>1</v>
      </c>
      <c r="M74" s="115"/>
      <c r="N74" s="115"/>
      <c r="O74" s="115">
        <v>3</v>
      </c>
      <c r="P74" s="115">
        <v>0</v>
      </c>
      <c r="Q74" s="115">
        <v>3</v>
      </c>
      <c r="R74" s="115">
        <v>0</v>
      </c>
      <c r="S74" s="115" t="s">
        <v>179</v>
      </c>
      <c r="T74" s="115">
        <v>2</v>
      </c>
      <c r="U74" s="115"/>
      <c r="V74" s="115" t="s">
        <v>178</v>
      </c>
      <c r="W74" s="115" t="s">
        <v>178</v>
      </c>
      <c r="X74" s="115"/>
      <c r="Y74" s="115" t="s">
        <v>178</v>
      </c>
      <c r="Z74" s="115"/>
      <c r="AA74" s="115" t="s">
        <v>178</v>
      </c>
      <c r="AB74" s="115"/>
      <c r="AC74" s="115"/>
      <c r="AD74" s="115">
        <v>65</v>
      </c>
      <c r="AE74" s="115">
        <v>24.7</v>
      </c>
      <c r="AF74" s="115">
        <v>300</v>
      </c>
      <c r="AG74" s="115">
        <v>6</v>
      </c>
      <c r="AH74" s="115">
        <v>12</v>
      </c>
      <c r="AI74" s="115">
        <v>1140</v>
      </c>
      <c r="AJ74" s="115" t="s">
        <v>180</v>
      </c>
      <c r="AK74" s="115">
        <v>6</v>
      </c>
      <c r="AL74" s="115"/>
      <c r="AM74" s="115">
        <v>3</v>
      </c>
      <c r="AN74" s="116" t="s">
        <v>237</v>
      </c>
      <c r="AO74" s="117" t="s">
        <v>203</v>
      </c>
      <c r="AP74" s="115">
        <v>1</v>
      </c>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spans="1:72">
      <c r="A75" s="115">
        <v>12</v>
      </c>
      <c r="B75" s="115" t="s">
        <v>174</v>
      </c>
      <c r="C75" s="115" t="s">
        <v>179</v>
      </c>
      <c r="D75" s="115">
        <v>288029942</v>
      </c>
      <c r="E75" s="115" t="s">
        <v>238</v>
      </c>
      <c r="F75" s="115" t="s">
        <v>87</v>
      </c>
      <c r="G75" s="115">
        <v>5</v>
      </c>
      <c r="H75" s="115" t="s">
        <v>155</v>
      </c>
      <c r="I75" s="115" t="s">
        <v>22</v>
      </c>
      <c r="J75" s="115" t="s">
        <v>176</v>
      </c>
      <c r="K75" s="115" t="s">
        <v>177</v>
      </c>
      <c r="L75" s="115" t="s">
        <v>178</v>
      </c>
      <c r="M75" s="115"/>
      <c r="N75" s="115"/>
      <c r="O75" s="115">
        <v>0</v>
      </c>
      <c r="P75" s="115">
        <v>4</v>
      </c>
      <c r="Q75" s="115">
        <v>2</v>
      </c>
      <c r="R75" s="115">
        <v>0</v>
      </c>
      <c r="S75" s="115" t="s">
        <v>179</v>
      </c>
      <c r="T75" s="115">
        <v>2</v>
      </c>
      <c r="U75" s="115"/>
      <c r="V75" s="115" t="s">
        <v>183</v>
      </c>
      <c r="W75" s="115" t="s">
        <v>185</v>
      </c>
      <c r="X75" s="115"/>
      <c r="Y75" s="115"/>
      <c r="Z75" s="115"/>
      <c r="AA75" s="115" t="s">
        <v>183</v>
      </c>
      <c r="AB75" s="115"/>
      <c r="AC75" s="115"/>
      <c r="AD75" s="115">
        <v>58</v>
      </c>
      <c r="AE75" s="115">
        <v>10.3</v>
      </c>
      <c r="AF75" s="115">
        <v>300</v>
      </c>
      <c r="AG75" s="115">
        <v>6</v>
      </c>
      <c r="AH75" s="115">
        <v>12</v>
      </c>
      <c r="AI75" s="115">
        <v>1140</v>
      </c>
      <c r="AJ75" s="115" t="s">
        <v>180</v>
      </c>
      <c r="AK75" s="115">
        <v>10</v>
      </c>
      <c r="AL75" s="115"/>
      <c r="AM75" s="115"/>
      <c r="AN75" s="116"/>
      <c r="AO75" s="117">
        <v>0</v>
      </c>
      <c r="AP75" s="115">
        <v>1</v>
      </c>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c r="A76" s="115">
        <v>4</v>
      </c>
      <c r="B76" s="115" t="s">
        <v>216</v>
      </c>
      <c r="C76" s="115" t="s">
        <v>179</v>
      </c>
      <c r="D76" s="115">
        <v>290077835</v>
      </c>
      <c r="E76" s="119" t="s">
        <v>212</v>
      </c>
      <c r="F76" s="115" t="s">
        <v>91</v>
      </c>
      <c r="G76" s="115">
        <v>1</v>
      </c>
      <c r="H76" s="115" t="s">
        <v>22</v>
      </c>
      <c r="I76" s="115"/>
      <c r="J76" s="115" t="s">
        <v>176</v>
      </c>
      <c r="K76" s="115" t="s">
        <v>186</v>
      </c>
      <c r="L76" s="115" t="s">
        <v>1</v>
      </c>
      <c r="M76" s="115"/>
      <c r="N76" s="115"/>
      <c r="O76" s="115">
        <v>2</v>
      </c>
      <c r="P76" s="115">
        <v>0</v>
      </c>
      <c r="Q76" s="115">
        <v>1</v>
      </c>
      <c r="R76" s="115">
        <v>0</v>
      </c>
      <c r="S76" s="115" t="s">
        <v>179</v>
      </c>
      <c r="T76" s="115">
        <v>3</v>
      </c>
      <c r="U76" s="115"/>
      <c r="V76" s="115"/>
      <c r="W76" s="115"/>
      <c r="X76" s="115"/>
      <c r="Y76" s="115"/>
      <c r="Z76" s="115"/>
      <c r="AA76" s="115" t="s">
        <v>178</v>
      </c>
      <c r="AB76" s="115"/>
      <c r="AC76" s="115"/>
      <c r="AD76" s="115">
        <v>61</v>
      </c>
      <c r="AE76" s="115">
        <v>8.1</v>
      </c>
      <c r="AF76" s="115">
        <v>300</v>
      </c>
      <c r="AG76" s="115">
        <v>6</v>
      </c>
      <c r="AH76" s="115">
        <v>12</v>
      </c>
      <c r="AI76" s="115">
        <v>1140</v>
      </c>
      <c r="AJ76" s="115" t="s">
        <v>180</v>
      </c>
      <c r="AK76" s="115">
        <v>10</v>
      </c>
      <c r="AL76" s="115"/>
      <c r="AM76" s="115">
        <v>4</v>
      </c>
      <c r="AN76" s="116" t="s">
        <v>245</v>
      </c>
      <c r="AO76" s="118" t="s">
        <v>215</v>
      </c>
      <c r="AP76" s="115">
        <v>3</v>
      </c>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spans="1:72">
      <c r="A77" s="115">
        <v>5</v>
      </c>
      <c r="B77" s="115" t="s">
        <v>216</v>
      </c>
      <c r="C77" s="115" t="s">
        <v>189</v>
      </c>
      <c r="D77" s="115"/>
      <c r="E77" s="115" t="s">
        <v>193</v>
      </c>
      <c r="F77" s="115" t="s">
        <v>32</v>
      </c>
      <c r="G77" s="115">
        <v>2</v>
      </c>
      <c r="H77" s="115" t="s">
        <v>220</v>
      </c>
      <c r="I77" s="115"/>
      <c r="J77" s="115" t="s">
        <v>232</v>
      </c>
      <c r="K77" s="115" t="s">
        <v>189</v>
      </c>
      <c r="L77" s="115"/>
      <c r="M77" s="115"/>
      <c r="N77" s="115"/>
      <c r="O77" s="115"/>
      <c r="P77" s="115"/>
      <c r="Q77" s="115"/>
      <c r="R77" s="115"/>
      <c r="S77" s="115"/>
      <c r="T77" s="115"/>
      <c r="U77" s="115"/>
      <c r="V77" s="115"/>
      <c r="W77" s="115"/>
      <c r="X77" s="115"/>
      <c r="Y77" s="115"/>
      <c r="Z77" s="115"/>
      <c r="AA77" s="115"/>
      <c r="AB77" s="115"/>
      <c r="AC77" s="115"/>
      <c r="AD77" s="115"/>
      <c r="AE77" s="115"/>
      <c r="AF77" s="115"/>
      <c r="AG77" s="115">
        <v>6</v>
      </c>
      <c r="AH77" s="115">
        <v>12</v>
      </c>
      <c r="AI77" s="115">
        <v>1140</v>
      </c>
      <c r="AJ77" s="115" t="s">
        <v>180</v>
      </c>
      <c r="AK77" s="115">
        <v>10</v>
      </c>
      <c r="AL77" s="115"/>
      <c r="AM77" s="115">
        <v>5</v>
      </c>
      <c r="AN77" s="116" t="s">
        <v>246</v>
      </c>
      <c r="AO77" s="117" t="s">
        <v>189</v>
      </c>
      <c r="AP77" s="115">
        <v>3</v>
      </c>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spans="1:72">
      <c r="A78" s="115">
        <v>6</v>
      </c>
      <c r="B78" s="115" t="s">
        <v>216</v>
      </c>
      <c r="C78" s="115" t="s">
        <v>189</v>
      </c>
      <c r="D78" s="115"/>
      <c r="E78" s="115" t="s">
        <v>192</v>
      </c>
      <c r="F78" s="115" t="s">
        <v>37</v>
      </c>
      <c r="G78" s="115">
        <v>2</v>
      </c>
      <c r="H78" s="115" t="s">
        <v>220</v>
      </c>
      <c r="I78" s="115"/>
      <c r="J78" s="115" t="s">
        <v>232</v>
      </c>
      <c r="K78" s="115" t="s">
        <v>177</v>
      </c>
      <c r="L78" s="115" t="s">
        <v>22</v>
      </c>
      <c r="M78" s="115"/>
      <c r="N78" s="115"/>
      <c r="O78" s="115"/>
      <c r="P78" s="115"/>
      <c r="Q78" s="115"/>
      <c r="R78" s="115"/>
      <c r="S78" s="115"/>
      <c r="T78" s="115"/>
      <c r="U78" s="115"/>
      <c r="V78" s="115"/>
      <c r="W78" s="115"/>
      <c r="X78" s="115"/>
      <c r="Y78" s="115"/>
      <c r="Z78" s="115"/>
      <c r="AA78" s="115"/>
      <c r="AB78" s="115"/>
      <c r="AC78" s="115"/>
      <c r="AD78" s="115"/>
      <c r="AE78" s="115"/>
      <c r="AF78" s="115"/>
      <c r="AG78" s="115">
        <v>6</v>
      </c>
      <c r="AH78" s="115">
        <v>12</v>
      </c>
      <c r="AI78" s="115">
        <v>1140</v>
      </c>
      <c r="AJ78" s="115" t="s">
        <v>180</v>
      </c>
      <c r="AK78" s="115">
        <v>6</v>
      </c>
      <c r="AL78" s="115"/>
      <c r="AM78" s="115">
        <v>6</v>
      </c>
      <c r="AN78" s="116" t="s">
        <v>246</v>
      </c>
      <c r="AO78" s="117" t="s">
        <v>189</v>
      </c>
      <c r="AP78" s="115">
        <v>3</v>
      </c>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spans="1:72">
      <c r="A79" s="115">
        <v>9</v>
      </c>
      <c r="B79" s="115" t="s">
        <v>227</v>
      </c>
      <c r="C79" s="115" t="s">
        <v>179</v>
      </c>
      <c r="D79" s="115">
        <v>290077834</v>
      </c>
      <c r="E79" s="115" t="s">
        <v>204</v>
      </c>
      <c r="F79" s="115" t="s">
        <v>88</v>
      </c>
      <c r="G79" s="115">
        <v>1</v>
      </c>
      <c r="H79" s="115" t="s">
        <v>155</v>
      </c>
      <c r="I79" s="115"/>
      <c r="J79" s="115" t="s">
        <v>176</v>
      </c>
      <c r="K79" s="115" t="s">
        <v>189</v>
      </c>
      <c r="L79" s="115"/>
      <c r="M79" s="115"/>
      <c r="N79" s="115">
        <v>6</v>
      </c>
      <c r="O79" s="115">
        <v>0</v>
      </c>
      <c r="P79" s="115">
        <v>0</v>
      </c>
      <c r="Q79" s="115">
        <v>2</v>
      </c>
      <c r="R79" s="115">
        <v>0</v>
      </c>
      <c r="S79" s="115" t="s">
        <v>155</v>
      </c>
      <c r="T79" s="115">
        <v>2</v>
      </c>
      <c r="U79" s="115"/>
      <c r="V79" s="115"/>
      <c r="W79" s="115"/>
      <c r="X79" s="115"/>
      <c r="Y79" s="115"/>
      <c r="Z79" s="115"/>
      <c r="AA79" s="115"/>
      <c r="AB79" s="115"/>
      <c r="AC79" s="115"/>
      <c r="AD79" s="115">
        <v>59</v>
      </c>
      <c r="AE79" s="115">
        <v>9.5</v>
      </c>
      <c r="AF79" s="115">
        <v>300</v>
      </c>
      <c r="AG79" s="115">
        <v>6</v>
      </c>
      <c r="AH79" s="115">
        <v>12</v>
      </c>
      <c r="AI79" s="115">
        <v>1140</v>
      </c>
      <c r="AJ79" s="115" t="s">
        <v>180</v>
      </c>
      <c r="AK79" s="115">
        <v>10</v>
      </c>
      <c r="AL79" s="115"/>
      <c r="AM79" s="115">
        <v>5</v>
      </c>
      <c r="AN79" s="116" t="s">
        <v>253</v>
      </c>
      <c r="AO79" s="117" t="s">
        <v>215</v>
      </c>
      <c r="AP79" s="115">
        <v>4</v>
      </c>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spans="1:72">
      <c r="A80" s="115">
        <v>4</v>
      </c>
      <c r="B80" s="115" t="s">
        <v>174</v>
      </c>
      <c r="C80" s="115" t="s">
        <v>179</v>
      </c>
      <c r="D80" s="115">
        <v>281191230</v>
      </c>
      <c r="E80" s="115" t="s">
        <v>206</v>
      </c>
      <c r="F80" s="115" t="s">
        <v>105</v>
      </c>
      <c r="G80" s="115">
        <v>2</v>
      </c>
      <c r="H80" s="115" t="s">
        <v>183</v>
      </c>
      <c r="I80" s="115"/>
      <c r="J80" s="115" t="s">
        <v>232</v>
      </c>
      <c r="K80" s="115" t="s">
        <v>189</v>
      </c>
      <c r="L80" s="115"/>
      <c r="M80" s="115"/>
      <c r="N80" s="115"/>
      <c r="O80" s="115">
        <v>0</v>
      </c>
      <c r="P80" s="115">
        <v>0</v>
      </c>
      <c r="Q80" s="115">
        <v>3</v>
      </c>
      <c r="R80" s="115">
        <v>1</v>
      </c>
      <c r="S80" s="115" t="s">
        <v>179</v>
      </c>
      <c r="T80" s="115">
        <v>0</v>
      </c>
      <c r="U80" s="115">
        <v>3</v>
      </c>
      <c r="V80" s="115" t="s">
        <v>183</v>
      </c>
      <c r="W80" s="115"/>
      <c r="X80" s="115" t="s">
        <v>183</v>
      </c>
      <c r="Y80" s="115"/>
      <c r="Z80" s="115"/>
      <c r="AA80" s="115" t="s">
        <v>183</v>
      </c>
      <c r="AB80" s="115" t="s">
        <v>183</v>
      </c>
      <c r="AC80" s="115"/>
      <c r="AD80" s="115">
        <v>72</v>
      </c>
      <c r="AE80" s="115">
        <v>22.8</v>
      </c>
      <c r="AF80" s="115">
        <v>300</v>
      </c>
      <c r="AG80" s="115">
        <v>6</v>
      </c>
      <c r="AH80" s="115">
        <v>29</v>
      </c>
      <c r="AI80" s="115">
        <v>7</v>
      </c>
      <c r="AJ80" s="115" t="s">
        <v>180</v>
      </c>
      <c r="AK80" s="115">
        <v>21</v>
      </c>
      <c r="AL80" s="115"/>
      <c r="AM80" s="115">
        <v>2</v>
      </c>
      <c r="AN80" s="116" t="s">
        <v>255</v>
      </c>
      <c r="AO80" s="117">
        <v>1</v>
      </c>
      <c r="AP80" s="115">
        <v>1</v>
      </c>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spans="1:72">
      <c r="A81" s="115">
        <v>4</v>
      </c>
      <c r="B81" s="115" t="s">
        <v>207</v>
      </c>
      <c r="C81" s="115" t="s">
        <v>179</v>
      </c>
      <c r="D81" s="115">
        <v>172176240</v>
      </c>
      <c r="E81" s="115" t="s">
        <v>248</v>
      </c>
      <c r="F81" s="115" t="s">
        <v>102</v>
      </c>
      <c r="G81" s="115">
        <v>5</v>
      </c>
      <c r="H81" s="115"/>
      <c r="I81" s="115"/>
      <c r="J81" s="115" t="s">
        <v>182</v>
      </c>
      <c r="K81" s="115" t="s">
        <v>186</v>
      </c>
      <c r="L81" s="115" t="s">
        <v>1</v>
      </c>
      <c r="M81" s="115"/>
      <c r="N81" s="115"/>
      <c r="O81" s="115">
        <v>2</v>
      </c>
      <c r="P81" s="115">
        <v>0</v>
      </c>
      <c r="Q81" s="115">
        <v>0</v>
      </c>
      <c r="R81" s="115">
        <v>0</v>
      </c>
      <c r="S81" s="115" t="s">
        <v>179</v>
      </c>
      <c r="T81" s="115">
        <v>3</v>
      </c>
      <c r="U81" s="115"/>
      <c r="V81" s="115"/>
      <c r="W81" s="115"/>
      <c r="X81" s="115"/>
      <c r="Y81" s="115"/>
      <c r="Z81" s="115"/>
      <c r="AA81" s="115"/>
      <c r="AB81" s="115"/>
      <c r="AC81" s="115"/>
      <c r="AD81" s="115">
        <v>90</v>
      </c>
      <c r="AE81" s="115"/>
      <c r="AF81" s="115"/>
      <c r="AG81" s="115">
        <v>6</v>
      </c>
      <c r="AH81" s="115">
        <v>29</v>
      </c>
      <c r="AI81" s="115">
        <v>7</v>
      </c>
      <c r="AJ81" s="115" t="s">
        <v>180</v>
      </c>
      <c r="AK81" s="115">
        <v>21</v>
      </c>
      <c r="AL81" s="115"/>
      <c r="AM81" s="115">
        <v>3</v>
      </c>
      <c r="AN81" s="116" t="s">
        <v>267</v>
      </c>
      <c r="AO81" s="118" t="s">
        <v>203</v>
      </c>
      <c r="AP81" s="115">
        <v>2</v>
      </c>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spans="1:72">
      <c r="A82" s="115">
        <v>7</v>
      </c>
      <c r="B82" s="115" t="s">
        <v>174</v>
      </c>
      <c r="C82" s="115" t="s">
        <v>179</v>
      </c>
      <c r="D82" s="115">
        <v>281191232</v>
      </c>
      <c r="E82" s="115" t="s">
        <v>206</v>
      </c>
      <c r="F82" s="115" t="s">
        <v>105</v>
      </c>
      <c r="G82" s="115">
        <v>2</v>
      </c>
      <c r="H82" s="115" t="s">
        <v>183</v>
      </c>
      <c r="I82" s="115"/>
      <c r="J82" s="115" t="s">
        <v>232</v>
      </c>
      <c r="K82" s="115" t="s">
        <v>189</v>
      </c>
      <c r="L82" s="115"/>
      <c r="M82" s="115"/>
      <c r="N82" s="115"/>
      <c r="O82" s="115">
        <v>0</v>
      </c>
      <c r="P82" s="115">
        <v>0</v>
      </c>
      <c r="Q82" s="115">
        <v>0</v>
      </c>
      <c r="R82" s="115">
        <v>2</v>
      </c>
      <c r="S82" s="115" t="s">
        <v>179</v>
      </c>
      <c r="T82" s="115">
        <v>0</v>
      </c>
      <c r="U82" s="115"/>
      <c r="V82" s="115"/>
      <c r="W82" s="115"/>
      <c r="X82" s="115" t="s">
        <v>183</v>
      </c>
      <c r="Y82" s="115"/>
      <c r="Z82" s="115"/>
      <c r="AA82" s="115" t="s">
        <v>183</v>
      </c>
      <c r="AB82" s="115"/>
      <c r="AC82" s="115"/>
      <c r="AD82" s="115">
        <v>78</v>
      </c>
      <c r="AE82" s="115"/>
      <c r="AF82" s="115">
        <v>300</v>
      </c>
      <c r="AG82" s="115">
        <v>6</v>
      </c>
      <c r="AH82" s="115">
        <v>29</v>
      </c>
      <c r="AI82" s="115">
        <v>8</v>
      </c>
      <c r="AJ82" s="115" t="s">
        <v>180</v>
      </c>
      <c r="AK82" s="115">
        <v>15</v>
      </c>
      <c r="AL82" s="115"/>
      <c r="AM82" s="115">
        <v>4</v>
      </c>
      <c r="AN82" s="116" t="s">
        <v>257</v>
      </c>
      <c r="AO82" s="117">
        <v>1</v>
      </c>
      <c r="AP82" s="115">
        <v>1</v>
      </c>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spans="1:72">
      <c r="A83" s="115">
        <v>8</v>
      </c>
      <c r="B83" s="115" t="s">
        <v>174</v>
      </c>
      <c r="C83" s="115" t="s">
        <v>179</v>
      </c>
      <c r="D83" s="115">
        <v>288029947</v>
      </c>
      <c r="E83" s="115" t="s">
        <v>225</v>
      </c>
      <c r="F83" s="115" t="s">
        <v>122</v>
      </c>
      <c r="G83" s="115">
        <v>2</v>
      </c>
      <c r="H83" s="115" t="s">
        <v>183</v>
      </c>
      <c r="I83" s="115"/>
      <c r="J83" s="115" t="s">
        <v>200</v>
      </c>
      <c r="K83" s="115" t="s">
        <v>189</v>
      </c>
      <c r="L83" s="115"/>
      <c r="M83" s="115"/>
      <c r="N83" s="115"/>
      <c r="O83" s="115">
        <v>0</v>
      </c>
      <c r="P83" s="115">
        <v>0</v>
      </c>
      <c r="Q83" s="115">
        <v>1</v>
      </c>
      <c r="R83" s="115">
        <v>1</v>
      </c>
      <c r="S83" s="115" t="s">
        <v>183</v>
      </c>
      <c r="T83" s="115">
        <v>0</v>
      </c>
      <c r="U83" s="115">
        <v>3</v>
      </c>
      <c r="V83" s="115"/>
      <c r="W83" s="115" t="s">
        <v>183</v>
      </c>
      <c r="X83" s="115" t="s">
        <v>183</v>
      </c>
      <c r="Y83" s="115"/>
      <c r="Z83" s="115"/>
      <c r="AA83" s="115" t="s">
        <v>183</v>
      </c>
      <c r="AB83" s="115"/>
      <c r="AC83" s="115"/>
      <c r="AD83" s="115">
        <v>55</v>
      </c>
      <c r="AE83" s="115"/>
      <c r="AF83" s="115">
        <v>300</v>
      </c>
      <c r="AG83" s="115">
        <v>6</v>
      </c>
      <c r="AH83" s="115">
        <v>29</v>
      </c>
      <c r="AI83" s="115">
        <v>8</v>
      </c>
      <c r="AJ83" s="115" t="s">
        <v>180</v>
      </c>
      <c r="AK83" s="115">
        <v>21</v>
      </c>
      <c r="AL83" s="115"/>
      <c r="AM83" s="115">
        <v>5</v>
      </c>
      <c r="AN83" s="116" t="s">
        <v>258</v>
      </c>
      <c r="AO83" s="117">
        <v>0</v>
      </c>
      <c r="AP83" s="115">
        <v>1</v>
      </c>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spans="1:72">
      <c r="A84" s="115">
        <v>5</v>
      </c>
      <c r="B84" s="115" t="s">
        <v>207</v>
      </c>
      <c r="C84" s="115" t="s">
        <v>179</v>
      </c>
      <c r="D84" s="115">
        <v>135291873</v>
      </c>
      <c r="E84" s="115" t="s">
        <v>181</v>
      </c>
      <c r="F84" s="115" t="s">
        <v>115</v>
      </c>
      <c r="G84" s="115">
        <v>2</v>
      </c>
      <c r="H84" s="115"/>
      <c r="I84" s="115"/>
      <c r="J84" s="115" t="s">
        <v>232</v>
      </c>
      <c r="K84" s="115" t="s">
        <v>189</v>
      </c>
      <c r="L84" s="115"/>
      <c r="M84" s="115"/>
      <c r="N84" s="115"/>
      <c r="O84" s="115">
        <v>0</v>
      </c>
      <c r="P84" s="115">
        <v>0</v>
      </c>
      <c r="Q84" s="115">
        <v>0</v>
      </c>
      <c r="R84" s="115">
        <v>0</v>
      </c>
      <c r="S84" s="115" t="s">
        <v>179</v>
      </c>
      <c r="T84" s="115">
        <v>0</v>
      </c>
      <c r="U84" s="115">
        <v>3</v>
      </c>
      <c r="V84" s="115" t="s">
        <v>183</v>
      </c>
      <c r="W84" s="115"/>
      <c r="X84" s="115"/>
      <c r="Y84" s="115"/>
      <c r="Z84" s="115"/>
      <c r="AA84" s="115" t="s">
        <v>183</v>
      </c>
      <c r="AB84" s="115"/>
      <c r="AC84" s="115"/>
      <c r="AD84" s="115">
        <v>78</v>
      </c>
      <c r="AE84" s="115">
        <v>38.299999999999997</v>
      </c>
      <c r="AF84" s="115"/>
      <c r="AG84" s="115">
        <v>6</v>
      </c>
      <c r="AH84" s="115">
        <v>29</v>
      </c>
      <c r="AI84" s="115">
        <v>8</v>
      </c>
      <c r="AJ84" s="115" t="s">
        <v>180</v>
      </c>
      <c r="AK84" s="115">
        <v>5</v>
      </c>
      <c r="AL84" s="115"/>
      <c r="AM84" s="115">
        <v>4</v>
      </c>
      <c r="AN84" s="116" t="s">
        <v>268</v>
      </c>
      <c r="AO84" s="117">
        <v>2</v>
      </c>
      <c r="AP84" s="115">
        <v>2</v>
      </c>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spans="1:72">
      <c r="A85" s="115">
        <v>6</v>
      </c>
      <c r="B85" s="115" t="s">
        <v>207</v>
      </c>
      <c r="C85" s="115" t="s">
        <v>189</v>
      </c>
      <c r="D85" s="115"/>
      <c r="E85" s="115" t="s">
        <v>192</v>
      </c>
      <c r="F85" s="115" t="s">
        <v>37</v>
      </c>
      <c r="G85" s="115">
        <v>5</v>
      </c>
      <c r="H85" s="115"/>
      <c r="I85" s="115"/>
      <c r="J85" s="115" t="s">
        <v>182</v>
      </c>
      <c r="K85" s="115" t="s">
        <v>177</v>
      </c>
      <c r="L85" s="115" t="s">
        <v>22</v>
      </c>
      <c r="M85" s="115"/>
      <c r="N85" s="115"/>
      <c r="O85" s="115"/>
      <c r="P85" s="115"/>
      <c r="Q85" s="115"/>
      <c r="R85" s="115"/>
      <c r="S85" s="115"/>
      <c r="T85" s="115"/>
      <c r="U85" s="115"/>
      <c r="V85" s="115"/>
      <c r="W85" s="115"/>
      <c r="X85" s="115"/>
      <c r="Y85" s="115"/>
      <c r="Z85" s="115"/>
      <c r="AA85" s="115"/>
      <c r="AB85" s="115"/>
      <c r="AC85" s="115"/>
      <c r="AD85" s="115"/>
      <c r="AE85" s="115"/>
      <c r="AF85" s="115"/>
      <c r="AG85" s="115">
        <v>6</v>
      </c>
      <c r="AH85" s="115">
        <v>29</v>
      </c>
      <c r="AI85" s="115">
        <v>8</v>
      </c>
      <c r="AJ85" s="115" t="s">
        <v>180</v>
      </c>
      <c r="AK85" s="115">
        <v>21</v>
      </c>
      <c r="AL85" s="115"/>
      <c r="AM85" s="115">
        <v>5</v>
      </c>
      <c r="AN85" s="116" t="s">
        <v>269</v>
      </c>
      <c r="AO85" s="117" t="s">
        <v>189</v>
      </c>
      <c r="AP85" s="115">
        <v>2</v>
      </c>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spans="1:72">
      <c r="A86" s="115">
        <v>3</v>
      </c>
      <c r="B86" s="115" t="s">
        <v>216</v>
      </c>
      <c r="C86" s="115" t="s">
        <v>189</v>
      </c>
      <c r="D86" s="115"/>
      <c r="E86" s="115" t="s">
        <v>193</v>
      </c>
      <c r="F86" s="115" t="s">
        <v>32</v>
      </c>
      <c r="G86" s="115">
        <v>1</v>
      </c>
      <c r="H86" s="115" t="s">
        <v>22</v>
      </c>
      <c r="I86" s="115"/>
      <c r="J86" s="115" t="s">
        <v>278</v>
      </c>
      <c r="K86" s="115" t="s">
        <v>186</v>
      </c>
      <c r="L86" s="115" t="s">
        <v>22</v>
      </c>
      <c r="M86" s="115"/>
      <c r="N86" s="115"/>
      <c r="O86" s="115"/>
      <c r="P86" s="115"/>
      <c r="Q86" s="115"/>
      <c r="R86" s="115">
        <v>3</v>
      </c>
      <c r="S86" s="115" t="s">
        <v>155</v>
      </c>
      <c r="T86" s="115">
        <v>0</v>
      </c>
      <c r="U86" s="115">
        <v>0</v>
      </c>
      <c r="V86" s="115"/>
      <c r="W86" s="115"/>
      <c r="X86" s="115"/>
      <c r="Y86" s="115"/>
      <c r="Z86" s="115"/>
      <c r="AA86" s="115"/>
      <c r="AB86" s="115"/>
      <c r="AC86" s="115"/>
      <c r="AD86" s="115"/>
      <c r="AE86" s="115"/>
      <c r="AF86" s="115">
        <v>300</v>
      </c>
      <c r="AG86" s="115">
        <v>6</v>
      </c>
      <c r="AH86" s="115">
        <v>29</v>
      </c>
      <c r="AI86" s="115">
        <v>8</v>
      </c>
      <c r="AJ86" s="115" t="s">
        <v>180</v>
      </c>
      <c r="AK86" s="115">
        <v>15</v>
      </c>
      <c r="AL86" s="115"/>
      <c r="AM86" s="115">
        <v>1</v>
      </c>
      <c r="AN86" s="116" t="s">
        <v>279</v>
      </c>
      <c r="AO86" s="118" t="s">
        <v>189</v>
      </c>
      <c r="AP86" s="115">
        <v>4</v>
      </c>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spans="1:72">
      <c r="A87" s="115">
        <v>6</v>
      </c>
      <c r="B87" s="115" t="s">
        <v>227</v>
      </c>
      <c r="C87" s="115" t="s">
        <v>157</v>
      </c>
      <c r="D87" s="115">
        <v>172176232</v>
      </c>
      <c r="E87" s="115" t="s">
        <v>175</v>
      </c>
      <c r="F87" s="115" t="s">
        <v>114</v>
      </c>
      <c r="G87" s="115">
        <v>1</v>
      </c>
      <c r="H87" s="115" t="s">
        <v>22</v>
      </c>
      <c r="I87" s="115" t="s">
        <v>155</v>
      </c>
      <c r="J87" s="115" t="s">
        <v>176</v>
      </c>
      <c r="K87" s="115" t="s">
        <v>189</v>
      </c>
      <c r="L87" s="115"/>
      <c r="M87" s="115"/>
      <c r="N87" s="115">
        <v>5</v>
      </c>
      <c r="O87" s="115">
        <v>0</v>
      </c>
      <c r="P87" s="115">
        <v>0</v>
      </c>
      <c r="Q87" s="115">
        <v>0</v>
      </c>
      <c r="R87" s="115">
        <v>0</v>
      </c>
      <c r="S87" s="115" t="s">
        <v>179</v>
      </c>
      <c r="T87" s="115">
        <v>3</v>
      </c>
      <c r="U87" s="115"/>
      <c r="V87" s="115"/>
      <c r="W87" s="115"/>
      <c r="X87" s="115"/>
      <c r="Y87" s="115"/>
      <c r="Z87" s="115"/>
      <c r="AA87" s="115"/>
      <c r="AB87" s="115"/>
      <c r="AC87" s="115"/>
      <c r="AD87" s="115">
        <v>67</v>
      </c>
      <c r="AE87" s="115">
        <v>24.8</v>
      </c>
      <c r="AF87" s="115">
        <v>300</v>
      </c>
      <c r="AG87" s="115">
        <v>6</v>
      </c>
      <c r="AH87" s="115">
        <v>29</v>
      </c>
      <c r="AI87" s="115">
        <v>9</v>
      </c>
      <c r="AJ87" s="115" t="s">
        <v>180</v>
      </c>
      <c r="AK87" s="115">
        <v>8</v>
      </c>
      <c r="AL87" s="115"/>
      <c r="AM87" s="115">
        <v>4</v>
      </c>
      <c r="AN87" s="116" t="s">
        <v>276</v>
      </c>
      <c r="AO87" s="118" t="s">
        <v>157</v>
      </c>
      <c r="AP87" s="115">
        <v>3</v>
      </c>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spans="1:72">
      <c r="A88" s="115">
        <v>5</v>
      </c>
      <c r="B88" s="115" t="s">
        <v>216</v>
      </c>
      <c r="C88" s="115" t="s">
        <v>179</v>
      </c>
      <c r="D88" s="115">
        <v>230196610</v>
      </c>
      <c r="E88" s="115" t="s">
        <v>280</v>
      </c>
      <c r="F88" s="115" t="s">
        <v>128</v>
      </c>
      <c r="G88" s="115">
        <v>6</v>
      </c>
      <c r="H88" s="115" t="s">
        <v>22</v>
      </c>
      <c r="I88" s="115"/>
      <c r="J88" s="115" t="s">
        <v>188</v>
      </c>
      <c r="K88" s="115" t="s">
        <v>177</v>
      </c>
      <c r="L88" s="115" t="s">
        <v>22</v>
      </c>
      <c r="M88" s="115" t="s">
        <v>178</v>
      </c>
      <c r="N88" s="115"/>
      <c r="O88" s="115">
        <v>0</v>
      </c>
      <c r="P88" s="115">
        <v>3</v>
      </c>
      <c r="Q88" s="115">
        <v>2</v>
      </c>
      <c r="R88" s="115"/>
      <c r="S88" s="115" t="s">
        <v>179</v>
      </c>
      <c r="T88" s="115">
        <v>3</v>
      </c>
      <c r="U88" s="115">
        <v>0</v>
      </c>
      <c r="V88" s="115" t="s">
        <v>178</v>
      </c>
      <c r="W88" s="115" t="s">
        <v>178</v>
      </c>
      <c r="X88" s="115"/>
      <c r="Y88" s="115"/>
      <c r="Z88" s="115"/>
      <c r="AA88" s="115"/>
      <c r="AB88" s="115"/>
      <c r="AC88" s="115"/>
      <c r="AD88" s="115">
        <v>98</v>
      </c>
      <c r="AE88" s="115"/>
      <c r="AF88" s="115">
        <v>300</v>
      </c>
      <c r="AG88" s="115">
        <v>6</v>
      </c>
      <c r="AH88" s="115">
        <v>29</v>
      </c>
      <c r="AI88" s="115">
        <v>9</v>
      </c>
      <c r="AJ88" s="115" t="s">
        <v>180</v>
      </c>
      <c r="AK88" s="115">
        <v>2</v>
      </c>
      <c r="AL88" s="115"/>
      <c r="AM88" s="115">
        <v>2</v>
      </c>
      <c r="AN88" s="116" t="s">
        <v>281</v>
      </c>
      <c r="AO88" s="117" t="s">
        <v>184</v>
      </c>
      <c r="AP88" s="115">
        <v>4</v>
      </c>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spans="1:72">
      <c r="A89" s="115">
        <v>7</v>
      </c>
      <c r="B89" s="115" t="s">
        <v>216</v>
      </c>
      <c r="C89" s="119" t="s">
        <v>179</v>
      </c>
      <c r="D89" s="115">
        <v>281191235</v>
      </c>
      <c r="E89" s="115" t="s">
        <v>206</v>
      </c>
      <c r="F89" s="115" t="s">
        <v>105</v>
      </c>
      <c r="G89" s="115">
        <v>2</v>
      </c>
      <c r="H89" s="115" t="s">
        <v>155</v>
      </c>
      <c r="I89" s="115" t="s">
        <v>22</v>
      </c>
      <c r="J89" s="115" t="s">
        <v>200</v>
      </c>
      <c r="K89" s="115" t="s">
        <v>189</v>
      </c>
      <c r="L89" s="115"/>
      <c r="M89" s="115"/>
      <c r="N89" s="115">
        <v>3</v>
      </c>
      <c r="O89" s="115">
        <v>0</v>
      </c>
      <c r="P89" s="115">
        <v>0</v>
      </c>
      <c r="Q89" s="115">
        <v>3</v>
      </c>
      <c r="R89" s="115">
        <v>1</v>
      </c>
      <c r="S89" s="115" t="s">
        <v>179</v>
      </c>
      <c r="T89" s="115">
        <v>0</v>
      </c>
      <c r="U89" s="115">
        <v>2</v>
      </c>
      <c r="V89" s="115"/>
      <c r="W89" s="115"/>
      <c r="X89" s="115"/>
      <c r="Y89" s="115"/>
      <c r="Z89" s="115"/>
      <c r="AA89" s="115"/>
      <c r="AB89" s="115"/>
      <c r="AC89" s="115"/>
      <c r="AD89" s="115">
        <v>22</v>
      </c>
      <c r="AE89" s="115">
        <v>75</v>
      </c>
      <c r="AF89" s="115">
        <v>300</v>
      </c>
      <c r="AG89" s="115">
        <v>6</v>
      </c>
      <c r="AH89" s="115">
        <v>29</v>
      </c>
      <c r="AI89" s="115">
        <v>11</v>
      </c>
      <c r="AJ89" s="115" t="s">
        <v>180</v>
      </c>
      <c r="AK89" s="115">
        <v>15</v>
      </c>
      <c r="AL89" s="115"/>
      <c r="AM89" s="115"/>
      <c r="AN89" s="116"/>
      <c r="AO89" s="118">
        <v>1</v>
      </c>
      <c r="AP89" s="115">
        <v>4</v>
      </c>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spans="1:72">
      <c r="A90" s="115">
        <v>1</v>
      </c>
      <c r="B90" s="115" t="s">
        <v>174</v>
      </c>
      <c r="C90" s="115" t="s">
        <v>179</v>
      </c>
      <c r="D90" s="115">
        <v>290077837</v>
      </c>
      <c r="E90" s="115" t="s">
        <v>196</v>
      </c>
      <c r="F90" s="115" t="s">
        <v>89</v>
      </c>
      <c r="G90" s="115">
        <v>1</v>
      </c>
      <c r="H90" s="115" t="s">
        <v>22</v>
      </c>
      <c r="I90" s="115"/>
      <c r="J90" s="115" t="s">
        <v>176</v>
      </c>
      <c r="K90" s="115" t="s">
        <v>186</v>
      </c>
      <c r="L90" s="115" t="s">
        <v>197</v>
      </c>
      <c r="M90" s="115"/>
      <c r="N90" s="115">
        <v>8</v>
      </c>
      <c r="O90" s="115">
        <v>0</v>
      </c>
      <c r="P90" s="115">
        <v>0</v>
      </c>
      <c r="Q90" s="115">
        <v>2</v>
      </c>
      <c r="R90" s="115">
        <v>2</v>
      </c>
      <c r="S90" s="115" t="s">
        <v>179</v>
      </c>
      <c r="T90" s="115">
        <v>3</v>
      </c>
      <c r="U90" s="115"/>
      <c r="V90" s="115"/>
      <c r="W90" s="115"/>
      <c r="X90" s="115" t="s">
        <v>178</v>
      </c>
      <c r="Y90" s="115"/>
      <c r="Z90" s="115"/>
      <c r="AA90" s="115"/>
      <c r="AB90" s="115"/>
      <c r="AC90" s="115"/>
      <c r="AD90" s="115">
        <v>46</v>
      </c>
      <c r="AE90" s="115">
        <v>5.4</v>
      </c>
      <c r="AF90" s="115">
        <v>300</v>
      </c>
      <c r="AG90" s="115">
        <v>6</v>
      </c>
      <c r="AH90" s="115">
        <v>29</v>
      </c>
      <c r="AI90" s="115">
        <v>630</v>
      </c>
      <c r="AJ90" s="115" t="s">
        <v>180</v>
      </c>
      <c r="AK90" s="115">
        <v>21</v>
      </c>
      <c r="AL90" s="115"/>
      <c r="AM90" s="115"/>
      <c r="AN90" s="116"/>
      <c r="AO90" s="117" t="s">
        <v>215</v>
      </c>
      <c r="AP90" s="115">
        <v>1</v>
      </c>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spans="1:72">
      <c r="A91" s="115">
        <v>2</v>
      </c>
      <c r="B91" s="115" t="s">
        <v>174</v>
      </c>
      <c r="C91" s="115" t="s">
        <v>157</v>
      </c>
      <c r="D91" s="115">
        <v>172176231</v>
      </c>
      <c r="E91" s="115" t="s">
        <v>175</v>
      </c>
      <c r="F91" s="115" t="s">
        <v>114</v>
      </c>
      <c r="G91" s="115">
        <v>1</v>
      </c>
      <c r="H91" s="115" t="s">
        <v>22</v>
      </c>
      <c r="I91" s="115"/>
      <c r="J91" s="115" t="s">
        <v>176</v>
      </c>
      <c r="K91" s="115" t="s">
        <v>186</v>
      </c>
      <c r="L91" s="115" t="s">
        <v>1</v>
      </c>
      <c r="M91" s="115"/>
      <c r="N91" s="115"/>
      <c r="O91" s="115">
        <v>3</v>
      </c>
      <c r="P91" s="115">
        <v>0</v>
      </c>
      <c r="Q91" s="115">
        <v>3</v>
      </c>
      <c r="R91" s="115">
        <v>0</v>
      </c>
      <c r="S91" s="115" t="s">
        <v>179</v>
      </c>
      <c r="T91" s="115">
        <v>3</v>
      </c>
      <c r="U91" s="115"/>
      <c r="V91" s="115"/>
      <c r="W91" s="115"/>
      <c r="X91" s="115"/>
      <c r="Y91" s="115"/>
      <c r="Z91" s="115"/>
      <c r="AA91" s="115"/>
      <c r="AB91" s="115"/>
      <c r="AC91" s="115"/>
      <c r="AD91" s="115">
        <v>63</v>
      </c>
      <c r="AE91" s="115"/>
      <c r="AF91" s="115">
        <v>300</v>
      </c>
      <c r="AG91" s="115">
        <v>6</v>
      </c>
      <c r="AH91" s="115">
        <v>29</v>
      </c>
      <c r="AI91" s="115">
        <v>630</v>
      </c>
      <c r="AJ91" s="115" t="s">
        <v>180</v>
      </c>
      <c r="AK91" s="115">
        <v>20</v>
      </c>
      <c r="AL91" s="115"/>
      <c r="AM91" s="115">
        <v>1</v>
      </c>
      <c r="AN91" s="116" t="s">
        <v>254</v>
      </c>
      <c r="AO91" s="117" t="s">
        <v>157</v>
      </c>
      <c r="AP91" s="115">
        <v>1</v>
      </c>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spans="1:72">
      <c r="A92" s="115">
        <v>3</v>
      </c>
      <c r="B92" s="115" t="s">
        <v>174</v>
      </c>
      <c r="C92" s="115" t="s">
        <v>189</v>
      </c>
      <c r="D92" s="115"/>
      <c r="E92" s="115" t="s">
        <v>193</v>
      </c>
      <c r="F92" s="115" t="s">
        <v>32</v>
      </c>
      <c r="G92" s="115">
        <v>2</v>
      </c>
      <c r="H92" s="115" t="s">
        <v>183</v>
      </c>
      <c r="I92" s="115" t="s">
        <v>220</v>
      </c>
      <c r="J92" s="115" t="s">
        <v>232</v>
      </c>
      <c r="K92" s="115" t="s">
        <v>186</v>
      </c>
      <c r="L92" s="115" t="s">
        <v>22</v>
      </c>
      <c r="M92" s="115"/>
      <c r="N92" s="115"/>
      <c r="O92" s="115"/>
      <c r="P92" s="115"/>
      <c r="Q92" s="115"/>
      <c r="R92" s="115"/>
      <c r="S92" s="115"/>
      <c r="T92" s="115"/>
      <c r="U92" s="115"/>
      <c r="V92" s="115"/>
      <c r="W92" s="115"/>
      <c r="X92" s="115"/>
      <c r="Y92" s="115"/>
      <c r="Z92" s="115"/>
      <c r="AA92" s="115"/>
      <c r="AB92" s="115"/>
      <c r="AC92" s="115"/>
      <c r="AD92" s="115"/>
      <c r="AE92" s="115">
        <v>21</v>
      </c>
      <c r="AF92" s="115">
        <v>300</v>
      </c>
      <c r="AG92" s="115">
        <v>6</v>
      </c>
      <c r="AH92" s="115">
        <v>29</v>
      </c>
      <c r="AI92" s="115">
        <v>630</v>
      </c>
      <c r="AJ92" s="115" t="s">
        <v>180</v>
      </c>
      <c r="AK92" s="115">
        <v>21</v>
      </c>
      <c r="AL92" s="115"/>
      <c r="AM92" s="115"/>
      <c r="AN92" s="116"/>
      <c r="AO92" s="117" t="s">
        <v>189</v>
      </c>
      <c r="AP92" s="115">
        <v>1</v>
      </c>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spans="1:72">
      <c r="A93" s="115">
        <v>1</v>
      </c>
      <c r="B93" s="115" t="s">
        <v>227</v>
      </c>
      <c r="C93" s="115" t="s">
        <v>179</v>
      </c>
      <c r="D93" s="115">
        <v>290077838</v>
      </c>
      <c r="E93" s="115" t="s">
        <v>225</v>
      </c>
      <c r="F93" s="115" t="s">
        <v>122</v>
      </c>
      <c r="G93" s="115">
        <v>2</v>
      </c>
      <c r="H93" s="115" t="s">
        <v>220</v>
      </c>
      <c r="I93" s="115" t="s">
        <v>22</v>
      </c>
      <c r="J93" s="115" t="s">
        <v>182</v>
      </c>
      <c r="K93" s="115" t="s">
        <v>189</v>
      </c>
      <c r="L93" s="115"/>
      <c r="M93" s="115"/>
      <c r="N93" s="115">
        <v>3</v>
      </c>
      <c r="O93" s="115">
        <v>0</v>
      </c>
      <c r="P93" s="115">
        <v>0</v>
      </c>
      <c r="Q93" s="115">
        <v>3</v>
      </c>
      <c r="R93" s="115">
        <v>0</v>
      </c>
      <c r="S93" s="115" t="s">
        <v>179</v>
      </c>
      <c r="T93" s="115">
        <v>2</v>
      </c>
      <c r="U93" s="115">
        <v>3</v>
      </c>
      <c r="V93" s="115"/>
      <c r="W93" s="115"/>
      <c r="X93" s="115"/>
      <c r="Y93" s="115"/>
      <c r="Z93" s="115"/>
      <c r="AA93" s="115"/>
      <c r="AB93" s="115"/>
      <c r="AC93" s="115"/>
      <c r="AD93" s="115">
        <v>52</v>
      </c>
      <c r="AE93" s="115">
        <v>8.9</v>
      </c>
      <c r="AF93" s="115">
        <v>300</v>
      </c>
      <c r="AG93" s="115">
        <v>6</v>
      </c>
      <c r="AH93" s="115">
        <v>29</v>
      </c>
      <c r="AI93" s="115">
        <v>630</v>
      </c>
      <c r="AJ93" s="115" t="s">
        <v>180</v>
      </c>
      <c r="AK93" s="115">
        <v>21</v>
      </c>
      <c r="AL93" s="115"/>
      <c r="AM93" s="115"/>
      <c r="AN93" s="116"/>
      <c r="AO93" s="117" t="s">
        <v>215</v>
      </c>
      <c r="AP93" s="115">
        <v>3</v>
      </c>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spans="1:72">
      <c r="A94" s="115">
        <v>2</v>
      </c>
      <c r="B94" s="115" t="s">
        <v>227</v>
      </c>
      <c r="C94" s="115" t="s">
        <v>157</v>
      </c>
      <c r="D94" s="115">
        <v>178168889</v>
      </c>
      <c r="E94" s="115" t="s">
        <v>181</v>
      </c>
      <c r="F94" s="115" t="s">
        <v>115</v>
      </c>
      <c r="G94" s="115">
        <v>1</v>
      </c>
      <c r="H94" s="115" t="s">
        <v>22</v>
      </c>
      <c r="I94" s="115" t="s">
        <v>1</v>
      </c>
      <c r="J94" s="115" t="s">
        <v>176</v>
      </c>
      <c r="K94" s="115" t="s">
        <v>186</v>
      </c>
      <c r="L94" s="115" t="s">
        <v>1</v>
      </c>
      <c r="M94" s="115" t="s">
        <v>22</v>
      </c>
      <c r="N94" s="115">
        <v>6</v>
      </c>
      <c r="O94" s="115">
        <v>3</v>
      </c>
      <c r="P94" s="115">
        <v>0</v>
      </c>
      <c r="Q94" s="115">
        <v>1</v>
      </c>
      <c r="R94" s="115">
        <v>0</v>
      </c>
      <c r="S94" s="115" t="s">
        <v>270</v>
      </c>
      <c r="T94" s="115">
        <v>3</v>
      </c>
      <c r="U94" s="115"/>
      <c r="V94" s="115"/>
      <c r="W94" s="115"/>
      <c r="X94" s="115"/>
      <c r="Y94" s="115"/>
      <c r="Z94" s="115"/>
      <c r="AA94" s="115"/>
      <c r="AB94" s="115"/>
      <c r="AC94" s="115"/>
      <c r="AD94" s="115">
        <v>85</v>
      </c>
      <c r="AE94" s="115">
        <v>37.9</v>
      </c>
      <c r="AF94" s="115">
        <v>300</v>
      </c>
      <c r="AG94" s="115">
        <v>6</v>
      </c>
      <c r="AH94" s="115">
        <v>29</v>
      </c>
      <c r="AI94" s="115">
        <v>630</v>
      </c>
      <c r="AJ94" s="115" t="s">
        <v>180</v>
      </c>
      <c r="AK94" s="115">
        <v>7</v>
      </c>
      <c r="AL94" s="115"/>
      <c r="AM94" s="115">
        <v>1</v>
      </c>
      <c r="AN94" s="116" t="s">
        <v>271</v>
      </c>
      <c r="AO94" s="117" t="s">
        <v>157</v>
      </c>
      <c r="AP94" s="115">
        <v>3</v>
      </c>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spans="1:72">
      <c r="A95" s="115">
        <v>1</v>
      </c>
      <c r="B95" s="115" t="s">
        <v>216</v>
      </c>
      <c r="C95" s="115" t="s">
        <v>179</v>
      </c>
      <c r="D95" s="115">
        <v>135291871</v>
      </c>
      <c r="E95" s="115" t="s">
        <v>181</v>
      </c>
      <c r="F95" s="115" t="s">
        <v>115</v>
      </c>
      <c r="G95" s="115">
        <v>2</v>
      </c>
      <c r="H95" s="115" t="s">
        <v>22</v>
      </c>
      <c r="I95" s="115" t="s">
        <v>183</v>
      </c>
      <c r="J95" s="115" t="s">
        <v>200</v>
      </c>
      <c r="K95" s="115" t="s">
        <v>189</v>
      </c>
      <c r="L95" s="115"/>
      <c r="M95" s="115"/>
      <c r="N95" s="115"/>
      <c r="O95" s="115"/>
      <c r="P95" s="115"/>
      <c r="Q95" s="115">
        <v>3</v>
      </c>
      <c r="R95" s="115">
        <v>2</v>
      </c>
      <c r="S95" s="115" t="s">
        <v>183</v>
      </c>
      <c r="T95" s="115">
        <v>1</v>
      </c>
      <c r="U95" s="115">
        <v>2</v>
      </c>
      <c r="V95" s="115" t="s">
        <v>183</v>
      </c>
      <c r="W95" s="115" t="s">
        <v>183</v>
      </c>
      <c r="X95" s="115"/>
      <c r="Y95" s="115"/>
      <c r="Z95" s="115"/>
      <c r="AA95" s="115"/>
      <c r="AB95" s="115"/>
      <c r="AC95" s="115"/>
      <c r="AD95" s="115">
        <v>75</v>
      </c>
      <c r="AE95" s="115">
        <v>37.799999999999997</v>
      </c>
      <c r="AF95" s="115">
        <v>300</v>
      </c>
      <c r="AG95" s="115">
        <v>6</v>
      </c>
      <c r="AH95" s="115">
        <v>29</v>
      </c>
      <c r="AI95" s="115">
        <v>630</v>
      </c>
      <c r="AJ95" s="115" t="s">
        <v>180</v>
      </c>
      <c r="AK95" s="115">
        <v>2</v>
      </c>
      <c r="AL95" s="115"/>
      <c r="AM95" s="115"/>
      <c r="AN95" s="116"/>
      <c r="AO95" s="117">
        <v>2</v>
      </c>
      <c r="AP95" s="115">
        <v>4</v>
      </c>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spans="1:72">
      <c r="A96" s="115">
        <v>1</v>
      </c>
      <c r="B96" s="115" t="s">
        <v>207</v>
      </c>
      <c r="C96" s="115" t="s">
        <v>157</v>
      </c>
      <c r="D96" s="115">
        <v>221115696</v>
      </c>
      <c r="E96" s="115" t="s">
        <v>181</v>
      </c>
      <c r="F96" s="115" t="s">
        <v>115</v>
      </c>
      <c r="G96" s="115">
        <v>1</v>
      </c>
      <c r="H96" s="115"/>
      <c r="I96" s="115"/>
      <c r="J96" s="115" t="s">
        <v>264</v>
      </c>
      <c r="K96" s="115" t="s">
        <v>177</v>
      </c>
      <c r="L96" s="115" t="s">
        <v>178</v>
      </c>
      <c r="M96" s="115"/>
      <c r="N96" s="115"/>
      <c r="O96" s="115"/>
      <c r="P96" s="115">
        <v>3</v>
      </c>
      <c r="Q96" s="115">
        <v>0</v>
      </c>
      <c r="R96" s="115">
        <v>0</v>
      </c>
      <c r="S96" s="115" t="s">
        <v>155</v>
      </c>
      <c r="T96" s="115"/>
      <c r="U96" s="115"/>
      <c r="V96" s="115"/>
      <c r="W96" s="115"/>
      <c r="X96" s="115" t="s">
        <v>186</v>
      </c>
      <c r="Y96" s="115"/>
      <c r="Z96" s="115"/>
      <c r="AA96" s="115"/>
      <c r="AB96" s="115"/>
      <c r="AC96" s="115"/>
      <c r="AD96" s="115"/>
      <c r="AE96" s="115"/>
      <c r="AF96" s="115"/>
      <c r="AG96" s="115">
        <v>6</v>
      </c>
      <c r="AH96" s="115">
        <v>29</v>
      </c>
      <c r="AI96" s="115">
        <v>640</v>
      </c>
      <c r="AJ96" s="115" t="s">
        <v>180</v>
      </c>
      <c r="AK96" s="115">
        <v>2</v>
      </c>
      <c r="AL96" s="115"/>
      <c r="AM96" s="115"/>
      <c r="AN96" s="116"/>
      <c r="AO96" s="117" t="s">
        <v>157</v>
      </c>
      <c r="AP96" s="115">
        <v>2</v>
      </c>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spans="1:72">
      <c r="A97" s="115">
        <v>2</v>
      </c>
      <c r="B97" s="115" t="s">
        <v>207</v>
      </c>
      <c r="C97" s="115" t="s">
        <v>157</v>
      </c>
      <c r="D97" s="115">
        <v>283105290</v>
      </c>
      <c r="E97" s="115" t="s">
        <v>194</v>
      </c>
      <c r="F97" s="115" t="s">
        <v>98</v>
      </c>
      <c r="G97" s="115">
        <v>1</v>
      </c>
      <c r="H97" s="115"/>
      <c r="I97" s="115"/>
      <c r="J97" s="115" t="s">
        <v>176</v>
      </c>
      <c r="K97" s="115" t="s">
        <v>177</v>
      </c>
      <c r="L97" s="115" t="s">
        <v>178</v>
      </c>
      <c r="M97" s="115"/>
      <c r="N97" s="115"/>
      <c r="O97" s="115"/>
      <c r="P97" s="115">
        <v>3</v>
      </c>
      <c r="Q97" s="115">
        <v>1</v>
      </c>
      <c r="R97" s="115">
        <v>0</v>
      </c>
      <c r="S97" s="115" t="s">
        <v>179</v>
      </c>
      <c r="T97" s="115">
        <v>3</v>
      </c>
      <c r="U97" s="115"/>
      <c r="V97" s="115"/>
      <c r="W97" s="115"/>
      <c r="X97" s="115"/>
      <c r="Y97" s="115"/>
      <c r="Z97" s="115"/>
      <c r="AA97" s="115" t="s">
        <v>189</v>
      </c>
      <c r="AB97" s="115"/>
      <c r="AC97" s="115"/>
      <c r="AD97" s="115">
        <v>91</v>
      </c>
      <c r="AE97" s="115">
        <v>29.4</v>
      </c>
      <c r="AF97" s="115"/>
      <c r="AG97" s="115">
        <v>6</v>
      </c>
      <c r="AH97" s="115">
        <v>29</v>
      </c>
      <c r="AI97" s="115">
        <v>640</v>
      </c>
      <c r="AJ97" s="115" t="s">
        <v>180</v>
      </c>
      <c r="AK97" s="115">
        <v>14</v>
      </c>
      <c r="AL97" s="115"/>
      <c r="AM97" s="115">
        <v>1</v>
      </c>
      <c r="AN97" s="116" t="s">
        <v>265</v>
      </c>
      <c r="AO97" s="117" t="s">
        <v>157</v>
      </c>
      <c r="AP97" s="115">
        <v>2</v>
      </c>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spans="1:72">
      <c r="A98" s="115">
        <v>3</v>
      </c>
      <c r="B98" s="115" t="s">
        <v>207</v>
      </c>
      <c r="C98" s="115" t="s">
        <v>157</v>
      </c>
      <c r="D98" s="115">
        <v>283105227</v>
      </c>
      <c r="E98" s="115" t="s">
        <v>194</v>
      </c>
      <c r="F98" s="115" t="s">
        <v>98</v>
      </c>
      <c r="G98" s="115">
        <v>1</v>
      </c>
      <c r="H98" s="115"/>
      <c r="I98" s="115"/>
      <c r="J98" s="115" t="s">
        <v>176</v>
      </c>
      <c r="K98" s="115" t="s">
        <v>186</v>
      </c>
      <c r="L98" s="115" t="s">
        <v>1</v>
      </c>
      <c r="M98" s="115"/>
      <c r="N98" s="115"/>
      <c r="O98" s="115">
        <v>3</v>
      </c>
      <c r="P98" s="115">
        <v>0</v>
      </c>
      <c r="Q98" s="115">
        <v>0</v>
      </c>
      <c r="R98" s="115">
        <v>0</v>
      </c>
      <c r="S98" s="115" t="s">
        <v>179</v>
      </c>
      <c r="T98" s="115"/>
      <c r="U98" s="115"/>
      <c r="V98" s="115"/>
      <c r="W98" s="115"/>
      <c r="X98" s="115" t="s">
        <v>178</v>
      </c>
      <c r="Y98" s="115"/>
      <c r="Z98" s="115"/>
      <c r="AA98" s="115" t="s">
        <v>178</v>
      </c>
      <c r="AB98" s="115"/>
      <c r="AC98" s="115"/>
      <c r="AD98" s="115">
        <v>95</v>
      </c>
      <c r="AE98" s="115">
        <v>28.3</v>
      </c>
      <c r="AF98" s="115"/>
      <c r="AG98" s="115">
        <v>6</v>
      </c>
      <c r="AH98" s="115">
        <v>29</v>
      </c>
      <c r="AI98" s="115">
        <v>640</v>
      </c>
      <c r="AJ98" s="115" t="s">
        <v>180</v>
      </c>
      <c r="AK98" s="115">
        <v>8</v>
      </c>
      <c r="AL98" s="115"/>
      <c r="AM98" s="115">
        <v>2</v>
      </c>
      <c r="AN98" s="116" t="s">
        <v>266</v>
      </c>
      <c r="AO98" s="117" t="s">
        <v>157</v>
      </c>
      <c r="AP98" s="115">
        <v>2</v>
      </c>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spans="1:72">
      <c r="A99" s="115">
        <v>5</v>
      </c>
      <c r="B99" s="115" t="s">
        <v>174</v>
      </c>
      <c r="C99" s="115" t="s">
        <v>157</v>
      </c>
      <c r="D99" s="115">
        <v>172176231</v>
      </c>
      <c r="E99" s="115" t="s">
        <v>175</v>
      </c>
      <c r="F99" s="115" t="s">
        <v>114</v>
      </c>
      <c r="G99" s="115">
        <v>5</v>
      </c>
      <c r="H99" s="115" t="s">
        <v>22</v>
      </c>
      <c r="I99" s="115"/>
      <c r="J99" s="115" t="s">
        <v>182</v>
      </c>
      <c r="K99" s="115" t="s">
        <v>186</v>
      </c>
      <c r="L99" s="115" t="s">
        <v>1</v>
      </c>
      <c r="M99" s="115"/>
      <c r="N99" s="115"/>
      <c r="O99" s="115">
        <v>3</v>
      </c>
      <c r="P99" s="115">
        <v>0</v>
      </c>
      <c r="Q99" s="115">
        <v>2</v>
      </c>
      <c r="R99" s="115">
        <v>0</v>
      </c>
      <c r="S99" s="115" t="s">
        <v>179</v>
      </c>
      <c r="T99" s="115">
        <v>2</v>
      </c>
      <c r="U99" s="115"/>
      <c r="V99" s="115"/>
      <c r="W99" s="115"/>
      <c r="X99" s="115"/>
      <c r="Y99" s="115"/>
      <c r="Z99" s="115"/>
      <c r="AA99" s="115" t="s">
        <v>183</v>
      </c>
      <c r="AB99" s="115"/>
      <c r="AC99" s="115"/>
      <c r="AD99" s="115">
        <v>65</v>
      </c>
      <c r="AE99" s="115">
        <v>88</v>
      </c>
      <c r="AF99" s="115">
        <v>300</v>
      </c>
      <c r="AG99" s="115">
        <v>6</v>
      </c>
      <c r="AH99" s="115">
        <v>29</v>
      </c>
      <c r="AI99" s="115">
        <v>730</v>
      </c>
      <c r="AJ99" s="115" t="s">
        <v>180</v>
      </c>
      <c r="AK99" s="115">
        <v>6</v>
      </c>
      <c r="AL99" s="115"/>
      <c r="AM99" s="115">
        <v>3</v>
      </c>
      <c r="AN99" s="116" t="s">
        <v>256</v>
      </c>
      <c r="AO99" s="118" t="s">
        <v>157</v>
      </c>
      <c r="AP99" s="115">
        <v>1</v>
      </c>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spans="1:72">
      <c r="A100" s="115">
        <v>6</v>
      </c>
      <c r="B100" s="115" t="s">
        <v>174</v>
      </c>
      <c r="C100" s="115" t="s">
        <v>179</v>
      </c>
      <c r="D100" s="115">
        <v>135291872</v>
      </c>
      <c r="E100" s="115" t="s">
        <v>191</v>
      </c>
      <c r="F100" s="115" t="s">
        <v>99</v>
      </c>
      <c r="G100" s="115">
        <v>5</v>
      </c>
      <c r="H100" s="115" t="s">
        <v>22</v>
      </c>
      <c r="I100" s="115"/>
      <c r="J100" s="115" t="s">
        <v>182</v>
      </c>
      <c r="K100" s="115" t="s">
        <v>177</v>
      </c>
      <c r="L100" s="115" t="s">
        <v>178</v>
      </c>
      <c r="M100" s="115" t="s">
        <v>22</v>
      </c>
      <c r="N100" s="115"/>
      <c r="O100" s="115">
        <v>0</v>
      </c>
      <c r="P100" s="115">
        <v>3</v>
      </c>
      <c r="Q100" s="115">
        <v>1</v>
      </c>
      <c r="R100" s="115">
        <v>0</v>
      </c>
      <c r="S100" s="115" t="s">
        <v>179</v>
      </c>
      <c r="T100" s="115">
        <v>2</v>
      </c>
      <c r="U100" s="115"/>
      <c r="V100" s="115" t="s">
        <v>183</v>
      </c>
      <c r="W100" s="115"/>
      <c r="X100" s="115"/>
      <c r="Y100" s="115"/>
      <c r="Z100" s="115"/>
      <c r="AA100" s="115" t="s">
        <v>183</v>
      </c>
      <c r="AB100" s="115"/>
      <c r="AC100" s="115"/>
      <c r="AD100" s="115">
        <v>121</v>
      </c>
      <c r="AE100" s="115">
        <v>21.9</v>
      </c>
      <c r="AF100" s="115">
        <v>300</v>
      </c>
      <c r="AG100" s="115">
        <v>6</v>
      </c>
      <c r="AH100" s="115">
        <v>29</v>
      </c>
      <c r="AI100" s="115">
        <v>730</v>
      </c>
      <c r="AJ100" s="115" t="s">
        <v>180</v>
      </c>
      <c r="AK100" s="115">
        <v>20</v>
      </c>
      <c r="AL100" s="115"/>
      <c r="AM100" s="115"/>
      <c r="AN100" s="116"/>
      <c r="AO100" s="117">
        <v>2</v>
      </c>
      <c r="AP100" s="115">
        <v>1</v>
      </c>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spans="1:72">
      <c r="A101" s="115">
        <v>3</v>
      </c>
      <c r="B101" s="115" t="s">
        <v>227</v>
      </c>
      <c r="C101" s="115" t="s">
        <v>179</v>
      </c>
      <c r="D101" s="115">
        <v>288029945</v>
      </c>
      <c r="E101" s="115" t="s">
        <v>199</v>
      </c>
      <c r="F101" s="115" t="s">
        <v>111</v>
      </c>
      <c r="G101" s="115">
        <v>2</v>
      </c>
      <c r="H101" s="115" t="s">
        <v>22</v>
      </c>
      <c r="I101" s="115" t="s">
        <v>155</v>
      </c>
      <c r="J101" s="115" t="s">
        <v>264</v>
      </c>
      <c r="K101" s="115" t="s">
        <v>189</v>
      </c>
      <c r="L101" s="115"/>
      <c r="M101" s="115"/>
      <c r="N101" s="115">
        <v>3</v>
      </c>
      <c r="O101" s="115">
        <v>0</v>
      </c>
      <c r="P101" s="115">
        <v>0</v>
      </c>
      <c r="Q101" s="115">
        <v>1</v>
      </c>
      <c r="R101" s="115">
        <v>1</v>
      </c>
      <c r="S101" s="115" t="s">
        <v>179</v>
      </c>
      <c r="T101" s="115">
        <v>1</v>
      </c>
      <c r="U101" s="115">
        <v>3</v>
      </c>
      <c r="V101" s="115"/>
      <c r="W101" s="115"/>
      <c r="X101" s="115"/>
      <c r="Y101" s="115"/>
      <c r="Z101" s="115"/>
      <c r="AA101" s="115"/>
      <c r="AB101" s="115"/>
      <c r="AC101" s="115"/>
      <c r="AD101" s="115">
        <v>76</v>
      </c>
      <c r="AE101" s="115">
        <v>17.7</v>
      </c>
      <c r="AF101" s="115">
        <v>300</v>
      </c>
      <c r="AG101" s="115">
        <v>6</v>
      </c>
      <c r="AH101" s="115">
        <v>29</v>
      </c>
      <c r="AI101" s="115">
        <v>730</v>
      </c>
      <c r="AJ101" s="115" t="s">
        <v>180</v>
      </c>
      <c r="AK101" s="115">
        <v>9</v>
      </c>
      <c r="AL101" s="115"/>
      <c r="AM101" s="115">
        <v>2</v>
      </c>
      <c r="AN101" s="116" t="s">
        <v>272</v>
      </c>
      <c r="AO101" s="117">
        <v>0</v>
      </c>
      <c r="AP101" s="115">
        <v>3</v>
      </c>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spans="1:72">
      <c r="A102" s="115">
        <v>4</v>
      </c>
      <c r="B102" s="115" t="s">
        <v>227</v>
      </c>
      <c r="C102" s="115" t="s">
        <v>179</v>
      </c>
      <c r="D102" s="115">
        <v>281191231</v>
      </c>
      <c r="E102" s="115" t="s">
        <v>273</v>
      </c>
      <c r="F102" s="115" t="s">
        <v>274</v>
      </c>
      <c r="G102" s="115">
        <v>1</v>
      </c>
      <c r="H102" s="115" t="s">
        <v>155</v>
      </c>
      <c r="I102" s="115" t="s">
        <v>1</v>
      </c>
      <c r="J102" s="115" t="s">
        <v>176</v>
      </c>
      <c r="K102" s="115" t="s">
        <v>186</v>
      </c>
      <c r="L102" s="115" t="s">
        <v>1</v>
      </c>
      <c r="M102" s="115" t="s">
        <v>22</v>
      </c>
      <c r="N102" s="115">
        <v>6</v>
      </c>
      <c r="O102" s="115">
        <v>3</v>
      </c>
      <c r="P102" s="115">
        <v>0</v>
      </c>
      <c r="Q102" s="115">
        <v>0</v>
      </c>
      <c r="R102" s="115">
        <v>0</v>
      </c>
      <c r="S102" s="115" t="s">
        <v>179</v>
      </c>
      <c r="T102" s="115">
        <v>3</v>
      </c>
      <c r="U102" s="115"/>
      <c r="V102" s="115"/>
      <c r="W102" s="115"/>
      <c r="X102" s="115"/>
      <c r="Y102" s="115"/>
      <c r="Z102" s="115"/>
      <c r="AA102" s="115"/>
      <c r="AB102" s="115"/>
      <c r="AC102" s="115"/>
      <c r="AD102" s="115">
        <v>65</v>
      </c>
      <c r="AE102" s="115">
        <v>16.8</v>
      </c>
      <c r="AF102" s="115">
        <v>300</v>
      </c>
      <c r="AG102" s="115">
        <v>6</v>
      </c>
      <c r="AH102" s="115">
        <v>29</v>
      </c>
      <c r="AI102" s="115">
        <v>730</v>
      </c>
      <c r="AJ102" s="115" t="s">
        <v>180</v>
      </c>
      <c r="AK102" s="115">
        <v>21</v>
      </c>
      <c r="AL102" s="115"/>
      <c r="AM102" s="115"/>
      <c r="AN102" s="116"/>
      <c r="AO102" s="117">
        <v>1</v>
      </c>
      <c r="AP102" s="115">
        <v>3</v>
      </c>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spans="1:72">
      <c r="A103" s="115">
        <v>2</v>
      </c>
      <c r="B103" s="115" t="s">
        <v>216</v>
      </c>
      <c r="C103" s="115" t="s">
        <v>179</v>
      </c>
      <c r="D103" s="115">
        <v>172176241</v>
      </c>
      <c r="E103" s="115" t="s">
        <v>175</v>
      </c>
      <c r="F103" s="115" t="s">
        <v>114</v>
      </c>
      <c r="G103" s="115">
        <v>1</v>
      </c>
      <c r="H103" s="115" t="s">
        <v>178</v>
      </c>
      <c r="I103" s="115"/>
      <c r="J103" s="115" t="s">
        <v>278</v>
      </c>
      <c r="K103" s="115" t="s">
        <v>177</v>
      </c>
      <c r="L103" s="115" t="s">
        <v>178</v>
      </c>
      <c r="M103" s="115"/>
      <c r="N103" s="115"/>
      <c r="O103" s="115">
        <v>0</v>
      </c>
      <c r="P103" s="115">
        <v>4</v>
      </c>
      <c r="Q103" s="115">
        <v>0</v>
      </c>
      <c r="R103" s="115">
        <v>0</v>
      </c>
      <c r="S103" s="115" t="s">
        <v>179</v>
      </c>
      <c r="T103" s="115">
        <v>2</v>
      </c>
      <c r="U103" s="115"/>
      <c r="V103" s="115"/>
      <c r="W103" s="115"/>
      <c r="X103" s="115"/>
      <c r="Y103" s="115"/>
      <c r="Z103" s="115"/>
      <c r="AA103" s="115"/>
      <c r="AB103" s="115"/>
      <c r="AC103" s="115"/>
      <c r="AD103" s="115">
        <v>62</v>
      </c>
      <c r="AE103" s="115">
        <v>20.7</v>
      </c>
      <c r="AF103" s="115">
        <v>300</v>
      </c>
      <c r="AG103" s="115">
        <v>6</v>
      </c>
      <c r="AH103" s="115">
        <v>29</v>
      </c>
      <c r="AI103" s="115">
        <v>730</v>
      </c>
      <c r="AJ103" s="115" t="s">
        <v>180</v>
      </c>
      <c r="AK103" s="115">
        <v>10</v>
      </c>
      <c r="AL103" s="115"/>
      <c r="AM103" s="115"/>
      <c r="AN103" s="116"/>
      <c r="AO103" s="117" t="s">
        <v>203</v>
      </c>
      <c r="AP103" s="115">
        <v>4</v>
      </c>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spans="1:72">
      <c r="A104" s="115">
        <v>9</v>
      </c>
      <c r="B104" s="115" t="s">
        <v>174</v>
      </c>
      <c r="C104" s="115" t="s">
        <v>179</v>
      </c>
      <c r="D104" s="115">
        <v>281191233</v>
      </c>
      <c r="E104" s="115" t="s">
        <v>206</v>
      </c>
      <c r="F104" s="115" t="s">
        <v>105</v>
      </c>
      <c r="G104" s="115">
        <v>2</v>
      </c>
      <c r="H104" s="115" t="s">
        <v>183</v>
      </c>
      <c r="I104" s="115"/>
      <c r="J104" s="115" t="s">
        <v>232</v>
      </c>
      <c r="K104" s="115" t="s">
        <v>189</v>
      </c>
      <c r="L104" s="115"/>
      <c r="M104" s="115"/>
      <c r="N104" s="115"/>
      <c r="O104" s="115">
        <v>0</v>
      </c>
      <c r="P104" s="115">
        <v>0</v>
      </c>
      <c r="Q104" s="115">
        <v>4</v>
      </c>
      <c r="R104" s="115">
        <v>0</v>
      </c>
      <c r="S104" s="115" t="s">
        <v>179</v>
      </c>
      <c r="T104" s="115">
        <v>1</v>
      </c>
      <c r="U104" s="115">
        <v>3</v>
      </c>
      <c r="V104" s="115"/>
      <c r="W104" s="115"/>
      <c r="X104" s="115" t="s">
        <v>183</v>
      </c>
      <c r="Y104" s="115"/>
      <c r="Z104" s="115"/>
      <c r="AA104" s="115" t="s">
        <v>183</v>
      </c>
      <c r="AB104" s="115"/>
      <c r="AC104" s="115"/>
      <c r="AD104" s="115">
        <v>76</v>
      </c>
      <c r="AE104" s="115"/>
      <c r="AF104" s="115">
        <v>300</v>
      </c>
      <c r="AG104" s="115">
        <v>6</v>
      </c>
      <c r="AH104" s="115">
        <v>29</v>
      </c>
      <c r="AI104" s="115">
        <v>830</v>
      </c>
      <c r="AJ104" s="115" t="s">
        <v>180</v>
      </c>
      <c r="AK104" s="115">
        <v>21</v>
      </c>
      <c r="AL104" s="115"/>
      <c r="AM104" s="115"/>
      <c r="AN104" s="116"/>
      <c r="AO104" s="117">
        <v>1</v>
      </c>
      <c r="AP104" s="115">
        <v>1</v>
      </c>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spans="1:72">
      <c r="A105" s="115">
        <v>7</v>
      </c>
      <c r="B105" s="115" t="s">
        <v>207</v>
      </c>
      <c r="C105" s="115" t="s">
        <v>157</v>
      </c>
      <c r="D105" s="115">
        <v>262127373</v>
      </c>
      <c r="E105" s="115" t="s">
        <v>206</v>
      </c>
      <c r="F105" s="115" t="s">
        <v>105</v>
      </c>
      <c r="G105" s="115">
        <v>6</v>
      </c>
      <c r="H105" s="115"/>
      <c r="I105" s="115"/>
      <c r="J105" s="115" t="s">
        <v>188</v>
      </c>
      <c r="K105" s="115" t="s">
        <v>186</v>
      </c>
      <c r="L105" s="115" t="s">
        <v>1</v>
      </c>
      <c r="M105" s="115"/>
      <c r="N105" s="115"/>
      <c r="O105" s="115">
        <v>3</v>
      </c>
      <c r="P105" s="115">
        <v>0</v>
      </c>
      <c r="Q105" s="115">
        <v>1</v>
      </c>
      <c r="R105" s="115">
        <v>0</v>
      </c>
      <c r="S105" s="115" t="s">
        <v>179</v>
      </c>
      <c r="T105" s="115">
        <v>1</v>
      </c>
      <c r="U105" s="115"/>
      <c r="V105" s="115"/>
      <c r="W105" s="115" t="s">
        <v>178</v>
      </c>
      <c r="X105" s="115" t="s">
        <v>186</v>
      </c>
      <c r="Y105" s="115"/>
      <c r="Z105" s="115"/>
      <c r="AA105" s="115" t="s">
        <v>178</v>
      </c>
      <c r="AB105" s="115" t="s">
        <v>178</v>
      </c>
      <c r="AC105" s="115"/>
      <c r="AD105" s="115">
        <v>70</v>
      </c>
      <c r="AE105" s="115">
        <v>23.8</v>
      </c>
      <c r="AF105" s="115"/>
      <c r="AG105" s="115">
        <v>6</v>
      </c>
      <c r="AH105" s="115">
        <v>29</v>
      </c>
      <c r="AI105" s="115">
        <v>830</v>
      </c>
      <c r="AJ105" s="115" t="s">
        <v>180</v>
      </c>
      <c r="AK105" s="115">
        <v>21</v>
      </c>
      <c r="AL105" s="115"/>
      <c r="AM105" s="115"/>
      <c r="AN105" s="116"/>
      <c r="AO105" s="117" t="s">
        <v>157</v>
      </c>
      <c r="AP105" s="115">
        <v>2</v>
      </c>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spans="1:72">
      <c r="A106" s="115">
        <v>5</v>
      </c>
      <c r="B106" s="115" t="s">
        <v>227</v>
      </c>
      <c r="C106" s="115" t="s">
        <v>179</v>
      </c>
      <c r="D106" s="115">
        <v>172176242</v>
      </c>
      <c r="E106" s="115" t="s">
        <v>248</v>
      </c>
      <c r="F106" s="115" t="s">
        <v>102</v>
      </c>
      <c r="G106" s="115">
        <v>2</v>
      </c>
      <c r="H106" s="115" t="s">
        <v>220</v>
      </c>
      <c r="I106" s="115" t="s">
        <v>22</v>
      </c>
      <c r="J106" s="115" t="s">
        <v>232</v>
      </c>
      <c r="K106" s="115" t="s">
        <v>189</v>
      </c>
      <c r="L106" s="115"/>
      <c r="M106" s="115"/>
      <c r="N106" s="115">
        <v>3</v>
      </c>
      <c r="O106" s="115">
        <v>0</v>
      </c>
      <c r="P106" s="115">
        <v>0</v>
      </c>
      <c r="Q106" s="115">
        <v>0</v>
      </c>
      <c r="R106" s="115">
        <v>0</v>
      </c>
      <c r="S106" s="115" t="s">
        <v>155</v>
      </c>
      <c r="T106" s="115">
        <v>0</v>
      </c>
      <c r="U106" s="115">
        <v>3</v>
      </c>
      <c r="V106" s="115"/>
      <c r="W106" s="115"/>
      <c r="X106" s="115"/>
      <c r="Y106" s="115"/>
      <c r="Z106" s="115"/>
      <c r="AA106" s="115"/>
      <c r="AB106" s="115"/>
      <c r="AC106" s="115"/>
      <c r="AD106" s="115">
        <v>80</v>
      </c>
      <c r="AE106" s="115">
        <v>29.9</v>
      </c>
      <c r="AF106" s="115">
        <v>300</v>
      </c>
      <c r="AG106" s="115">
        <v>6</v>
      </c>
      <c r="AH106" s="115">
        <v>29</v>
      </c>
      <c r="AI106" s="115">
        <v>830</v>
      </c>
      <c r="AJ106" s="115" t="s">
        <v>180</v>
      </c>
      <c r="AK106" s="115">
        <v>15</v>
      </c>
      <c r="AL106" s="115"/>
      <c r="AM106" s="115">
        <v>3</v>
      </c>
      <c r="AN106" s="116" t="s">
        <v>275</v>
      </c>
      <c r="AO106" s="117" t="s">
        <v>203</v>
      </c>
      <c r="AP106" s="115">
        <v>3</v>
      </c>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spans="1:72">
      <c r="A107" s="115">
        <v>4</v>
      </c>
      <c r="B107" s="115" t="s">
        <v>216</v>
      </c>
      <c r="C107" s="115" t="s">
        <v>179</v>
      </c>
      <c r="D107" s="115">
        <v>172176243</v>
      </c>
      <c r="E107" s="115" t="s">
        <v>248</v>
      </c>
      <c r="F107" s="115" t="s">
        <v>102</v>
      </c>
      <c r="G107" s="115">
        <v>2</v>
      </c>
      <c r="H107" s="115" t="s">
        <v>22</v>
      </c>
      <c r="I107" s="115" t="s">
        <v>220</v>
      </c>
      <c r="J107" s="115" t="s">
        <v>200</v>
      </c>
      <c r="K107" s="115" t="s">
        <v>189</v>
      </c>
      <c r="L107" s="115"/>
      <c r="M107" s="115"/>
      <c r="N107" s="115"/>
      <c r="O107" s="115">
        <v>0</v>
      </c>
      <c r="P107" s="115"/>
      <c r="Q107" s="115">
        <v>2</v>
      </c>
      <c r="R107" s="115"/>
      <c r="S107" s="115" t="s">
        <v>183</v>
      </c>
      <c r="T107" s="115">
        <v>0</v>
      </c>
      <c r="U107" s="115">
        <v>3</v>
      </c>
      <c r="V107" s="115"/>
      <c r="W107" s="115"/>
      <c r="X107" s="115"/>
      <c r="Y107" s="115"/>
      <c r="Z107" s="115"/>
      <c r="AA107" s="115"/>
      <c r="AB107" s="115"/>
      <c r="AC107" s="115"/>
      <c r="AD107" s="115">
        <v>77</v>
      </c>
      <c r="AE107" s="115">
        <v>30.1</v>
      </c>
      <c r="AF107" s="115">
        <v>300</v>
      </c>
      <c r="AG107" s="115">
        <v>6</v>
      </c>
      <c r="AH107" s="115">
        <v>29</v>
      </c>
      <c r="AI107" s="115">
        <v>830</v>
      </c>
      <c r="AJ107" s="115" t="s">
        <v>180</v>
      </c>
      <c r="AK107" s="115">
        <v>15</v>
      </c>
      <c r="AL107" s="115"/>
      <c r="AM107" s="115"/>
      <c r="AN107" s="116"/>
      <c r="AO107" s="117" t="s">
        <v>203</v>
      </c>
      <c r="AP107" s="115">
        <v>4</v>
      </c>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spans="1:72">
      <c r="A108" s="115">
        <v>10</v>
      </c>
      <c r="B108" s="115" t="s">
        <v>174</v>
      </c>
      <c r="C108" s="115" t="s">
        <v>179</v>
      </c>
      <c r="D108" s="115">
        <v>288029948</v>
      </c>
      <c r="E108" s="115" t="s">
        <v>259</v>
      </c>
      <c r="F108" s="115" t="s">
        <v>107</v>
      </c>
      <c r="G108" s="115">
        <v>2</v>
      </c>
      <c r="H108" s="115" t="s">
        <v>183</v>
      </c>
      <c r="I108" s="115"/>
      <c r="J108" s="115" t="s">
        <v>232</v>
      </c>
      <c r="K108" s="115" t="s">
        <v>189</v>
      </c>
      <c r="L108" s="115"/>
      <c r="M108" s="115"/>
      <c r="N108" s="115"/>
      <c r="O108" s="115">
        <v>0</v>
      </c>
      <c r="P108" s="115">
        <v>0</v>
      </c>
      <c r="Q108" s="115">
        <v>1</v>
      </c>
      <c r="R108" s="115">
        <v>0</v>
      </c>
      <c r="S108" s="115" t="s">
        <v>179</v>
      </c>
      <c r="T108" s="115">
        <v>0</v>
      </c>
      <c r="U108" s="115">
        <v>3</v>
      </c>
      <c r="V108" s="115"/>
      <c r="W108" s="115"/>
      <c r="X108" s="115" t="s">
        <v>183</v>
      </c>
      <c r="Y108" s="115"/>
      <c r="Z108" s="115"/>
      <c r="AA108" s="115" t="s">
        <v>183</v>
      </c>
      <c r="AB108" s="115" t="s">
        <v>183</v>
      </c>
      <c r="AC108" s="115"/>
      <c r="AD108" s="115">
        <v>68</v>
      </c>
      <c r="AE108" s="115"/>
      <c r="AF108" s="115">
        <v>300</v>
      </c>
      <c r="AG108" s="115">
        <v>6</v>
      </c>
      <c r="AH108" s="115">
        <v>29</v>
      </c>
      <c r="AI108" s="115">
        <v>930</v>
      </c>
      <c r="AJ108" s="115" t="s">
        <v>180</v>
      </c>
      <c r="AK108" s="115">
        <v>21</v>
      </c>
      <c r="AL108" s="115"/>
      <c r="AM108" s="115"/>
      <c r="AN108" s="116"/>
      <c r="AO108" s="117">
        <v>0</v>
      </c>
      <c r="AP108" s="115">
        <v>1</v>
      </c>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spans="1:72">
      <c r="A109" s="115">
        <v>11</v>
      </c>
      <c r="B109" s="115" t="s">
        <v>174</v>
      </c>
      <c r="C109" s="115" t="s">
        <v>179</v>
      </c>
      <c r="D109" s="115">
        <v>135291874</v>
      </c>
      <c r="E109" s="115" t="s">
        <v>191</v>
      </c>
      <c r="F109" s="115" t="s">
        <v>99</v>
      </c>
      <c r="G109" s="115">
        <v>4</v>
      </c>
      <c r="H109" s="115" t="s">
        <v>183</v>
      </c>
      <c r="I109" s="115"/>
      <c r="J109" s="115" t="s">
        <v>200</v>
      </c>
      <c r="K109" s="115" t="s">
        <v>189</v>
      </c>
      <c r="L109" s="115"/>
      <c r="M109" s="115"/>
      <c r="N109" s="115"/>
      <c r="O109" s="115">
        <v>0</v>
      </c>
      <c r="P109" s="115">
        <v>0</v>
      </c>
      <c r="Q109" s="115">
        <v>0</v>
      </c>
      <c r="R109" s="115">
        <v>3</v>
      </c>
      <c r="S109" s="115" t="s">
        <v>183</v>
      </c>
      <c r="T109" s="115">
        <v>0</v>
      </c>
      <c r="U109" s="115">
        <v>3</v>
      </c>
      <c r="V109" s="115"/>
      <c r="W109" s="115"/>
      <c r="X109" s="115"/>
      <c r="Y109" s="115"/>
      <c r="Z109" s="115"/>
      <c r="AA109" s="115"/>
      <c r="AB109" s="115"/>
      <c r="AC109" s="115"/>
      <c r="AD109" s="115"/>
      <c r="AE109" s="115"/>
      <c r="AF109" s="115">
        <v>300</v>
      </c>
      <c r="AG109" s="115">
        <v>6</v>
      </c>
      <c r="AH109" s="115">
        <v>29</v>
      </c>
      <c r="AI109" s="115">
        <v>1030</v>
      </c>
      <c r="AJ109" s="115" t="s">
        <v>180</v>
      </c>
      <c r="AK109" s="115">
        <v>20</v>
      </c>
      <c r="AL109" s="115"/>
      <c r="AM109" s="115"/>
      <c r="AN109" s="116"/>
      <c r="AO109" s="117">
        <v>2</v>
      </c>
      <c r="AP109" s="115">
        <v>1</v>
      </c>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spans="1:72">
      <c r="A110" s="115">
        <v>12</v>
      </c>
      <c r="B110" s="115" t="s">
        <v>260</v>
      </c>
      <c r="C110" s="115" t="s">
        <v>179</v>
      </c>
      <c r="D110" s="115">
        <v>281191234</v>
      </c>
      <c r="E110" s="115" t="s">
        <v>206</v>
      </c>
      <c r="F110" s="115" t="s">
        <v>105</v>
      </c>
      <c r="G110" s="115">
        <v>2</v>
      </c>
      <c r="H110" s="115" t="s">
        <v>183</v>
      </c>
      <c r="I110" s="115"/>
      <c r="J110" s="115" t="s">
        <v>232</v>
      </c>
      <c r="K110" s="115" t="s">
        <v>189</v>
      </c>
      <c r="L110" s="115"/>
      <c r="M110" s="115"/>
      <c r="N110" s="115"/>
      <c r="O110" s="115">
        <v>0</v>
      </c>
      <c r="P110" s="115">
        <v>0</v>
      </c>
      <c r="Q110" s="115">
        <v>2</v>
      </c>
      <c r="R110" s="115">
        <v>0</v>
      </c>
      <c r="S110" s="115" t="s">
        <v>179</v>
      </c>
      <c r="T110" s="115">
        <v>1</v>
      </c>
      <c r="U110" s="115">
        <v>3</v>
      </c>
      <c r="V110" s="115"/>
      <c r="W110" s="115"/>
      <c r="X110" s="115" t="s">
        <v>183</v>
      </c>
      <c r="Y110" s="115"/>
      <c r="Z110" s="115"/>
      <c r="AA110" s="115" t="s">
        <v>183</v>
      </c>
      <c r="AB110" s="115" t="s">
        <v>183</v>
      </c>
      <c r="AC110" s="115"/>
      <c r="AD110" s="115">
        <v>74</v>
      </c>
      <c r="AE110" s="115">
        <v>22.4</v>
      </c>
      <c r="AF110" s="115">
        <v>300</v>
      </c>
      <c r="AG110" s="115">
        <v>6</v>
      </c>
      <c r="AH110" s="115">
        <v>29</v>
      </c>
      <c r="AI110" s="115">
        <v>1030</v>
      </c>
      <c r="AJ110" s="115" t="s">
        <v>180</v>
      </c>
      <c r="AK110" s="115">
        <v>15</v>
      </c>
      <c r="AL110" s="115"/>
      <c r="AM110" s="115"/>
      <c r="AN110" s="116"/>
      <c r="AO110" s="118">
        <v>1</v>
      </c>
      <c r="AP110" s="115">
        <v>1</v>
      </c>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spans="1:72">
      <c r="A111" s="115">
        <v>13</v>
      </c>
      <c r="B111" s="115" t="s">
        <v>260</v>
      </c>
      <c r="C111" s="115" t="s">
        <v>157</v>
      </c>
      <c r="D111" s="115">
        <v>288029933</v>
      </c>
      <c r="E111" s="115" t="s">
        <v>261</v>
      </c>
      <c r="F111" s="115" t="s">
        <v>68</v>
      </c>
      <c r="G111" s="115">
        <v>2</v>
      </c>
      <c r="H111" s="115" t="s">
        <v>22</v>
      </c>
      <c r="I111" s="115"/>
      <c r="J111" s="115" t="s">
        <v>182</v>
      </c>
      <c r="K111" s="115" t="s">
        <v>186</v>
      </c>
      <c r="L111" s="115" t="s">
        <v>1</v>
      </c>
      <c r="M111" s="115"/>
      <c r="N111" s="115"/>
      <c r="O111" s="115">
        <v>1</v>
      </c>
      <c r="P111" s="115">
        <v>0</v>
      </c>
      <c r="Q111" s="115">
        <v>1</v>
      </c>
      <c r="R111" s="115">
        <v>1</v>
      </c>
      <c r="S111" s="115" t="s">
        <v>179</v>
      </c>
      <c r="T111" s="115">
        <v>1</v>
      </c>
      <c r="U111" s="115"/>
      <c r="V111" s="115" t="s">
        <v>185</v>
      </c>
      <c r="W111" s="115"/>
      <c r="X111" s="115" t="s">
        <v>185</v>
      </c>
      <c r="Y111" s="115" t="s">
        <v>185</v>
      </c>
      <c r="Z111" s="115"/>
      <c r="AA111" s="115"/>
      <c r="AB111" s="115"/>
      <c r="AC111" s="115"/>
      <c r="AD111" s="115">
        <v>67</v>
      </c>
      <c r="AE111" s="115">
        <v>13.4</v>
      </c>
      <c r="AF111" s="115">
        <v>300</v>
      </c>
      <c r="AG111" s="115">
        <v>6</v>
      </c>
      <c r="AH111" s="115">
        <v>29</v>
      </c>
      <c r="AI111" s="115">
        <v>1030</v>
      </c>
      <c r="AJ111" s="115" t="s">
        <v>180</v>
      </c>
      <c r="AK111" s="115">
        <v>21</v>
      </c>
      <c r="AL111" s="115"/>
      <c r="AM111" s="115">
        <v>6</v>
      </c>
      <c r="AN111" s="116" t="s">
        <v>262</v>
      </c>
      <c r="AO111" s="117" t="s">
        <v>157</v>
      </c>
      <c r="AP111" s="115">
        <v>1</v>
      </c>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spans="1:72">
      <c r="A112" s="115">
        <v>8</v>
      </c>
      <c r="B112" s="115" t="s">
        <v>207</v>
      </c>
      <c r="C112" s="115" t="s">
        <v>179</v>
      </c>
      <c r="D112" s="115">
        <v>288029949</v>
      </c>
      <c r="E112" s="115" t="s">
        <v>199</v>
      </c>
      <c r="F112" s="115" t="s">
        <v>111</v>
      </c>
      <c r="G112" s="115">
        <v>2</v>
      </c>
      <c r="H112" s="115"/>
      <c r="I112" s="115"/>
      <c r="J112" s="115" t="s">
        <v>232</v>
      </c>
      <c r="K112" s="115" t="s">
        <v>189</v>
      </c>
      <c r="L112" s="115"/>
      <c r="M112" s="115"/>
      <c r="N112" s="115">
        <v>4</v>
      </c>
      <c r="O112" s="115">
        <v>0</v>
      </c>
      <c r="P112" s="115">
        <v>0</v>
      </c>
      <c r="Q112" s="115">
        <v>0</v>
      </c>
      <c r="R112" s="115">
        <v>0</v>
      </c>
      <c r="S112" s="115" t="s">
        <v>179</v>
      </c>
      <c r="T112" s="115">
        <v>1</v>
      </c>
      <c r="U112" s="115">
        <v>3</v>
      </c>
      <c r="V112" s="115"/>
      <c r="W112" s="115"/>
      <c r="X112" s="115"/>
      <c r="Y112" s="115"/>
      <c r="Z112" s="115"/>
      <c r="AA112" s="115"/>
      <c r="AB112" s="115"/>
      <c r="AC112" s="115"/>
      <c r="AD112" s="115">
        <v>73</v>
      </c>
      <c r="AE112" s="115">
        <v>17.8</v>
      </c>
      <c r="AF112" s="115"/>
      <c r="AG112" s="115">
        <v>6</v>
      </c>
      <c r="AH112" s="115">
        <v>29</v>
      </c>
      <c r="AI112" s="115">
        <v>1030</v>
      </c>
      <c r="AJ112" s="115" t="s">
        <v>180</v>
      </c>
      <c r="AK112" s="115">
        <v>5</v>
      </c>
      <c r="AL112" s="115"/>
      <c r="AM112" s="115"/>
      <c r="AN112" s="116"/>
      <c r="AO112" s="117">
        <v>0</v>
      </c>
      <c r="AP112" s="115">
        <v>2</v>
      </c>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spans="1:72">
      <c r="A113" s="115">
        <v>9</v>
      </c>
      <c r="B113" s="115" t="s">
        <v>207</v>
      </c>
      <c r="C113" s="115" t="s">
        <v>179</v>
      </c>
      <c r="D113" s="115">
        <v>288029951</v>
      </c>
      <c r="E113" s="115" t="s">
        <v>238</v>
      </c>
      <c r="F113" s="115" t="s">
        <v>87</v>
      </c>
      <c r="G113" s="115">
        <v>2</v>
      </c>
      <c r="H113" s="115"/>
      <c r="I113" s="115"/>
      <c r="J113" s="115" t="s">
        <v>232</v>
      </c>
      <c r="K113" s="115" t="s">
        <v>189</v>
      </c>
      <c r="L113" s="115"/>
      <c r="M113" s="115"/>
      <c r="N113" s="115"/>
      <c r="O113" s="115">
        <v>0</v>
      </c>
      <c r="P113" s="115">
        <v>0</v>
      </c>
      <c r="Q113" s="115">
        <v>1</v>
      </c>
      <c r="R113" s="115">
        <v>0</v>
      </c>
      <c r="S113" s="115" t="s">
        <v>179</v>
      </c>
      <c r="T113" s="115">
        <v>0</v>
      </c>
      <c r="U113" s="115">
        <v>3</v>
      </c>
      <c r="V113" s="115"/>
      <c r="W113" s="115"/>
      <c r="X113" s="115"/>
      <c r="Y113" s="115"/>
      <c r="Z113" s="115"/>
      <c r="AA113" s="115" t="s">
        <v>183</v>
      </c>
      <c r="AB113" s="115"/>
      <c r="AC113" s="115"/>
      <c r="AD113" s="115">
        <v>58</v>
      </c>
      <c r="AE113" s="115">
        <v>8.5</v>
      </c>
      <c r="AF113" s="115"/>
      <c r="AG113" s="115">
        <v>6</v>
      </c>
      <c r="AH113" s="115">
        <v>29</v>
      </c>
      <c r="AI113" s="115">
        <v>1030</v>
      </c>
      <c r="AJ113" s="115" t="s">
        <v>180</v>
      </c>
      <c r="AK113" s="115">
        <v>20</v>
      </c>
      <c r="AL113" s="115"/>
      <c r="AM113" s="115"/>
      <c r="AN113" s="116"/>
      <c r="AO113" s="117">
        <v>0</v>
      </c>
      <c r="AP113" s="115">
        <v>2</v>
      </c>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spans="1:72">
      <c r="A114" s="115">
        <v>10</v>
      </c>
      <c r="B114" s="115" t="s">
        <v>207</v>
      </c>
      <c r="C114" s="115" t="s">
        <v>179</v>
      </c>
      <c r="D114" s="115">
        <v>288029953</v>
      </c>
      <c r="E114" s="115" t="s">
        <v>204</v>
      </c>
      <c r="F114" s="115" t="s">
        <v>88</v>
      </c>
      <c r="G114" s="115">
        <v>1</v>
      </c>
      <c r="H114" s="115"/>
      <c r="I114" s="115"/>
      <c r="J114" s="115" t="s">
        <v>176</v>
      </c>
      <c r="K114" s="115" t="s">
        <v>177</v>
      </c>
      <c r="L114" s="115" t="s">
        <v>1</v>
      </c>
      <c r="M114" s="115"/>
      <c r="N114" s="115">
        <v>6</v>
      </c>
      <c r="O114" s="115">
        <v>0</v>
      </c>
      <c r="P114" s="115">
        <v>2</v>
      </c>
      <c r="Q114" s="115">
        <v>1</v>
      </c>
      <c r="R114" s="115">
        <v>0</v>
      </c>
      <c r="S114" s="115" t="s">
        <v>155</v>
      </c>
      <c r="T114" s="115">
        <v>2</v>
      </c>
      <c r="U114" s="115">
        <v>0</v>
      </c>
      <c r="V114" s="115"/>
      <c r="W114" s="115"/>
      <c r="X114" s="115"/>
      <c r="Y114" s="115" t="s">
        <v>186</v>
      </c>
      <c r="Z114" s="115"/>
      <c r="AA114" s="115" t="s">
        <v>186</v>
      </c>
      <c r="AB114" s="115"/>
      <c r="AC114" s="115"/>
      <c r="AD114" s="115">
        <v>57</v>
      </c>
      <c r="AE114" s="115">
        <v>8.4</v>
      </c>
      <c r="AF114" s="115"/>
      <c r="AG114" s="115">
        <v>6</v>
      </c>
      <c r="AH114" s="115">
        <v>29</v>
      </c>
      <c r="AI114" s="115">
        <v>1030</v>
      </c>
      <c r="AJ114" s="115" t="s">
        <v>180</v>
      </c>
      <c r="AK114" s="115">
        <v>15</v>
      </c>
      <c r="AL114" s="115"/>
      <c r="AM114" s="115"/>
      <c r="AN114" s="116"/>
      <c r="AO114" s="117">
        <v>0</v>
      </c>
      <c r="AP114" s="115">
        <v>2</v>
      </c>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spans="1:72">
      <c r="A115" s="115">
        <v>7</v>
      </c>
      <c r="B115" s="115" t="s">
        <v>227</v>
      </c>
      <c r="C115" s="115" t="s">
        <v>179</v>
      </c>
      <c r="D115" s="115">
        <v>288029952</v>
      </c>
      <c r="E115" s="115" t="s">
        <v>238</v>
      </c>
      <c r="F115" s="115" t="s">
        <v>87</v>
      </c>
      <c r="G115" s="115">
        <v>2</v>
      </c>
      <c r="H115" s="115" t="s">
        <v>155</v>
      </c>
      <c r="I115" s="115" t="s">
        <v>22</v>
      </c>
      <c r="J115" s="115" t="s">
        <v>176</v>
      </c>
      <c r="K115" s="115" t="s">
        <v>189</v>
      </c>
      <c r="L115" s="115"/>
      <c r="M115" s="115"/>
      <c r="N115" s="115">
        <v>3</v>
      </c>
      <c r="O115" s="115">
        <v>0</v>
      </c>
      <c r="P115" s="115">
        <v>0</v>
      </c>
      <c r="Q115" s="115">
        <v>0</v>
      </c>
      <c r="R115" s="115">
        <v>0</v>
      </c>
      <c r="S115" s="115" t="s">
        <v>155</v>
      </c>
      <c r="T115" s="115">
        <v>2</v>
      </c>
      <c r="U115" s="115"/>
      <c r="V115" s="115"/>
      <c r="W115" s="115"/>
      <c r="X115" s="115"/>
      <c r="Y115" s="115"/>
      <c r="Z115" s="115"/>
      <c r="AA115" s="115"/>
      <c r="AB115" s="115"/>
      <c r="AC115" s="115"/>
      <c r="AD115" s="115">
        <v>58</v>
      </c>
      <c r="AE115" s="115">
        <v>10.8</v>
      </c>
      <c r="AF115" s="115">
        <v>300</v>
      </c>
      <c r="AG115" s="115">
        <v>6</v>
      </c>
      <c r="AH115" s="115">
        <v>29</v>
      </c>
      <c r="AI115" s="115">
        <v>1030</v>
      </c>
      <c r="AJ115" s="115" t="s">
        <v>180</v>
      </c>
      <c r="AK115" s="115">
        <v>15</v>
      </c>
      <c r="AL115" s="115"/>
      <c r="AM115" s="115">
        <v>5</v>
      </c>
      <c r="AN115" s="116" t="s">
        <v>277</v>
      </c>
      <c r="AO115" s="117">
        <v>0</v>
      </c>
      <c r="AP115" s="115">
        <v>3</v>
      </c>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spans="1:72">
      <c r="A116" s="115">
        <v>8</v>
      </c>
      <c r="B116" s="115" t="s">
        <v>227</v>
      </c>
      <c r="C116" s="115" t="s">
        <v>179</v>
      </c>
      <c r="D116" s="115">
        <v>288029954</v>
      </c>
      <c r="E116" s="115" t="s">
        <v>225</v>
      </c>
      <c r="F116" s="115" t="s">
        <v>122</v>
      </c>
      <c r="G116" s="115">
        <v>2</v>
      </c>
      <c r="H116" s="115" t="s">
        <v>155</v>
      </c>
      <c r="I116" s="115" t="s">
        <v>22</v>
      </c>
      <c r="J116" s="115" t="s">
        <v>176</v>
      </c>
      <c r="K116" s="115" t="s">
        <v>189</v>
      </c>
      <c r="L116" s="115"/>
      <c r="M116" s="115"/>
      <c r="N116" s="115">
        <v>3</v>
      </c>
      <c r="O116" s="115">
        <v>0</v>
      </c>
      <c r="P116" s="115">
        <v>0</v>
      </c>
      <c r="Q116" s="115">
        <v>2</v>
      </c>
      <c r="R116" s="115">
        <v>0</v>
      </c>
      <c r="S116" s="115" t="s">
        <v>179</v>
      </c>
      <c r="T116" s="115">
        <v>1</v>
      </c>
      <c r="U116" s="115"/>
      <c r="V116" s="115"/>
      <c r="W116" s="115"/>
      <c r="X116" s="115"/>
      <c r="Y116" s="115"/>
      <c r="Z116" s="115"/>
      <c r="AA116" s="115"/>
      <c r="AB116" s="115"/>
      <c r="AC116" s="115"/>
      <c r="AD116" s="115">
        <v>55</v>
      </c>
      <c r="AE116" s="115">
        <v>10.4</v>
      </c>
      <c r="AF116" s="115">
        <v>300</v>
      </c>
      <c r="AG116" s="115">
        <v>6</v>
      </c>
      <c r="AH116" s="115">
        <v>29</v>
      </c>
      <c r="AI116" s="115">
        <v>1030</v>
      </c>
      <c r="AJ116" s="115" t="s">
        <v>180</v>
      </c>
      <c r="AK116" s="115">
        <v>21</v>
      </c>
      <c r="AL116" s="115"/>
      <c r="AM116" s="115"/>
      <c r="AN116" s="116"/>
      <c r="AO116" s="117">
        <v>0</v>
      </c>
      <c r="AP116" s="115">
        <v>3</v>
      </c>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spans="1:72">
      <c r="A117" s="115">
        <v>6</v>
      </c>
      <c r="B117" s="115" t="s">
        <v>216</v>
      </c>
      <c r="C117" s="115" t="s">
        <v>157</v>
      </c>
      <c r="D117" s="115">
        <v>135291818</v>
      </c>
      <c r="E117" s="115" t="s">
        <v>191</v>
      </c>
      <c r="F117" s="115" t="s">
        <v>99</v>
      </c>
      <c r="G117" s="115">
        <v>6</v>
      </c>
      <c r="H117" s="115" t="s">
        <v>22</v>
      </c>
      <c r="I117" s="115"/>
      <c r="J117" s="115" t="s">
        <v>188</v>
      </c>
      <c r="K117" s="115" t="s">
        <v>186</v>
      </c>
      <c r="L117" s="115" t="s">
        <v>1</v>
      </c>
      <c r="M117" s="115"/>
      <c r="N117" s="115"/>
      <c r="O117" s="115">
        <v>1</v>
      </c>
      <c r="P117" s="115">
        <v>0</v>
      </c>
      <c r="Q117" s="115"/>
      <c r="R117" s="115"/>
      <c r="S117" s="115" t="s">
        <v>179</v>
      </c>
      <c r="T117" s="115">
        <v>3</v>
      </c>
      <c r="U117" s="115"/>
      <c r="V117" s="115"/>
      <c r="W117" s="115"/>
      <c r="X117" s="115" t="s">
        <v>178</v>
      </c>
      <c r="Y117" s="115" t="s">
        <v>178</v>
      </c>
      <c r="Z117" s="115"/>
      <c r="AA117" s="115" t="s">
        <v>178</v>
      </c>
      <c r="AB117" s="115"/>
      <c r="AC117" s="115"/>
      <c r="AD117" s="115">
        <v>131</v>
      </c>
      <c r="AE117" s="115">
        <v>72</v>
      </c>
      <c r="AF117" s="115">
        <v>300</v>
      </c>
      <c r="AG117" s="115">
        <v>6</v>
      </c>
      <c r="AH117" s="115">
        <v>29</v>
      </c>
      <c r="AI117" s="115">
        <v>1030</v>
      </c>
      <c r="AJ117" s="115" t="s">
        <v>180</v>
      </c>
      <c r="AK117" s="115">
        <v>20</v>
      </c>
      <c r="AL117" s="115"/>
      <c r="AM117" s="115"/>
      <c r="AN117" s="116"/>
      <c r="AO117" s="117" t="s">
        <v>157</v>
      </c>
      <c r="AP117" s="115">
        <v>4</v>
      </c>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spans="1:72">
      <c r="A118" s="115">
        <v>1</v>
      </c>
      <c r="B118" s="115" t="s">
        <v>260</v>
      </c>
      <c r="C118" s="115" t="s">
        <v>189</v>
      </c>
      <c r="D118" s="115"/>
      <c r="E118" s="115" t="s">
        <v>175</v>
      </c>
      <c r="F118" s="115" t="s">
        <v>114</v>
      </c>
      <c r="G118" s="115">
        <v>9</v>
      </c>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v>6</v>
      </c>
      <c r="AH118" s="115">
        <v>29</v>
      </c>
      <c r="AI118" s="115">
        <v>1030</v>
      </c>
      <c r="AJ118" s="115" t="s">
        <v>180</v>
      </c>
      <c r="AK118" s="115">
        <v>6</v>
      </c>
      <c r="AL118" s="115"/>
      <c r="AM118" s="115"/>
      <c r="AN118" s="116"/>
      <c r="AO118" s="117" t="s">
        <v>189</v>
      </c>
      <c r="AP118" s="115">
        <v>5</v>
      </c>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spans="1:72">
      <c r="A119" s="115">
        <v>2</v>
      </c>
      <c r="B119" s="115" t="s">
        <v>260</v>
      </c>
      <c r="C119" s="115" t="s">
        <v>179</v>
      </c>
      <c r="D119" s="115">
        <v>288029950</v>
      </c>
      <c r="E119" s="115" t="s">
        <v>238</v>
      </c>
      <c r="F119" s="115" t="s">
        <v>87</v>
      </c>
      <c r="G119" s="115">
        <v>5</v>
      </c>
      <c r="H119" s="115" t="s">
        <v>22</v>
      </c>
      <c r="I119" s="115"/>
      <c r="J119" s="115" t="s">
        <v>182</v>
      </c>
      <c r="K119" s="115" t="s">
        <v>186</v>
      </c>
      <c r="L119" s="115" t="s">
        <v>1</v>
      </c>
      <c r="M119" s="115" t="s">
        <v>22</v>
      </c>
      <c r="N119" s="115"/>
      <c r="O119" s="115"/>
      <c r="P119" s="115"/>
      <c r="Q119" s="115">
        <v>1</v>
      </c>
      <c r="R119" s="115">
        <v>0</v>
      </c>
      <c r="S119" s="115" t="s">
        <v>179</v>
      </c>
      <c r="T119" s="115">
        <v>1</v>
      </c>
      <c r="U119" s="115">
        <v>0</v>
      </c>
      <c r="V119" s="115"/>
      <c r="W119" s="115"/>
      <c r="X119" s="115"/>
      <c r="Y119" s="115"/>
      <c r="Z119" s="115"/>
      <c r="AA119" s="115" t="s">
        <v>177</v>
      </c>
      <c r="AB119" s="115"/>
      <c r="AC119" s="115"/>
      <c r="AD119" s="115">
        <v>61</v>
      </c>
      <c r="AE119" s="115">
        <v>9.4</v>
      </c>
      <c r="AF119" s="115">
        <v>300</v>
      </c>
      <c r="AG119" s="115">
        <v>6</v>
      </c>
      <c r="AH119" s="115">
        <v>29</v>
      </c>
      <c r="AI119" s="115">
        <v>1030</v>
      </c>
      <c r="AJ119" s="115" t="s">
        <v>180</v>
      </c>
      <c r="AK119" s="115">
        <v>21</v>
      </c>
      <c r="AL119" s="115"/>
      <c r="AM119" s="115"/>
      <c r="AN119" s="116"/>
      <c r="AO119" s="117">
        <v>0</v>
      </c>
      <c r="AP119" s="115">
        <v>5</v>
      </c>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spans="1:72">
      <c r="A120" s="115">
        <v>3</v>
      </c>
      <c r="B120" s="115" t="s">
        <v>260</v>
      </c>
      <c r="C120" s="115" t="s">
        <v>157</v>
      </c>
      <c r="D120" s="115">
        <v>262127352</v>
      </c>
      <c r="E120" s="115" t="s">
        <v>199</v>
      </c>
      <c r="F120" s="115" t="s">
        <v>111</v>
      </c>
      <c r="G120" s="115">
        <v>1</v>
      </c>
      <c r="H120" s="115" t="s">
        <v>22</v>
      </c>
      <c r="I120" s="115"/>
      <c r="J120" s="115" t="s">
        <v>176</v>
      </c>
      <c r="K120" s="115" t="s">
        <v>186</v>
      </c>
      <c r="L120" s="115" t="s">
        <v>1</v>
      </c>
      <c r="M120" s="115" t="s">
        <v>22</v>
      </c>
      <c r="N120" s="115"/>
      <c r="O120" s="115">
        <v>3</v>
      </c>
      <c r="P120" s="115"/>
      <c r="Q120" s="115">
        <v>1</v>
      </c>
      <c r="R120" s="115">
        <v>0</v>
      </c>
      <c r="S120" s="115" t="s">
        <v>179</v>
      </c>
      <c r="T120" s="115">
        <v>2</v>
      </c>
      <c r="U120" s="115">
        <v>0</v>
      </c>
      <c r="V120" s="115"/>
      <c r="W120" s="115"/>
      <c r="X120" s="115"/>
      <c r="Y120" s="115"/>
      <c r="Z120" s="115"/>
      <c r="AA120" s="115"/>
      <c r="AB120" s="115"/>
      <c r="AC120" s="115"/>
      <c r="AD120" s="115">
        <v>84</v>
      </c>
      <c r="AE120" s="115">
        <v>17.399999999999999</v>
      </c>
      <c r="AF120" s="115">
        <v>300</v>
      </c>
      <c r="AG120" s="115">
        <v>6</v>
      </c>
      <c r="AH120" s="115">
        <v>29</v>
      </c>
      <c r="AI120" s="115">
        <v>1030</v>
      </c>
      <c r="AJ120" s="115" t="s">
        <v>180</v>
      </c>
      <c r="AK120" s="115">
        <v>14</v>
      </c>
      <c r="AL120" s="115"/>
      <c r="AM120" s="115"/>
      <c r="AN120" s="116"/>
      <c r="AO120" s="117" t="s">
        <v>157</v>
      </c>
      <c r="AP120" s="115">
        <v>5</v>
      </c>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spans="1:72">
      <c r="A121" s="115">
        <v>14</v>
      </c>
      <c r="B121" s="115" t="s">
        <v>174</v>
      </c>
      <c r="C121" s="115" t="s">
        <v>189</v>
      </c>
      <c r="D121" s="115"/>
      <c r="E121" s="115" t="s">
        <v>263</v>
      </c>
      <c r="F121" s="115" t="s">
        <v>110</v>
      </c>
      <c r="G121" s="115">
        <v>1</v>
      </c>
      <c r="H121" s="115" t="s">
        <v>22</v>
      </c>
      <c r="I121" s="115"/>
      <c r="J121" s="115" t="s">
        <v>176</v>
      </c>
      <c r="K121" s="115" t="s">
        <v>189</v>
      </c>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v>6</v>
      </c>
      <c r="AH121" s="115">
        <v>29</v>
      </c>
      <c r="AI121" s="115">
        <v>1100</v>
      </c>
      <c r="AJ121" s="115" t="s">
        <v>180</v>
      </c>
      <c r="AK121" s="115">
        <v>21</v>
      </c>
      <c r="AL121" s="115"/>
      <c r="AM121" s="115"/>
      <c r="AN121" s="116"/>
      <c r="AO121" s="118" t="s">
        <v>189</v>
      </c>
      <c r="AP121" s="115">
        <v>1</v>
      </c>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spans="1:72">
      <c r="A122" s="115">
        <v>9</v>
      </c>
      <c r="B122" s="115" t="s">
        <v>227</v>
      </c>
      <c r="C122" s="115" t="s">
        <v>179</v>
      </c>
      <c r="D122" s="115">
        <v>290077839</v>
      </c>
      <c r="E122" s="115" t="s">
        <v>223</v>
      </c>
      <c r="F122" s="115" t="s">
        <v>123</v>
      </c>
      <c r="G122" s="115">
        <v>1</v>
      </c>
      <c r="H122" s="115" t="s">
        <v>155</v>
      </c>
      <c r="I122" s="115" t="s">
        <v>178</v>
      </c>
      <c r="J122" s="115" t="s">
        <v>176</v>
      </c>
      <c r="K122" s="115" t="s">
        <v>177</v>
      </c>
      <c r="L122" s="115" t="s">
        <v>178</v>
      </c>
      <c r="M122" s="115" t="s">
        <v>22</v>
      </c>
      <c r="N122" s="115">
        <v>6</v>
      </c>
      <c r="O122" s="115">
        <v>0</v>
      </c>
      <c r="P122" s="115">
        <v>4</v>
      </c>
      <c r="Q122" s="115">
        <v>1</v>
      </c>
      <c r="R122" s="115">
        <v>0</v>
      </c>
      <c r="S122" s="115" t="s">
        <v>179</v>
      </c>
      <c r="T122" s="115">
        <v>2</v>
      </c>
      <c r="U122" s="115"/>
      <c r="V122" s="115"/>
      <c r="W122" s="115"/>
      <c r="X122" s="115"/>
      <c r="Y122" s="115"/>
      <c r="Z122" s="115"/>
      <c r="AA122" s="115"/>
      <c r="AB122" s="115"/>
      <c r="AC122" s="115"/>
      <c r="AD122" s="115">
        <v>58</v>
      </c>
      <c r="AE122" s="115">
        <v>9.9</v>
      </c>
      <c r="AF122" s="115">
        <v>300</v>
      </c>
      <c r="AG122" s="115">
        <v>6</v>
      </c>
      <c r="AH122" s="115">
        <v>29</v>
      </c>
      <c r="AI122" s="115">
        <v>1130</v>
      </c>
      <c r="AJ122" s="115" t="s">
        <v>180</v>
      </c>
      <c r="AK122" s="115">
        <v>20</v>
      </c>
      <c r="AL122" s="115"/>
      <c r="AM122" s="115"/>
      <c r="AN122" s="116"/>
      <c r="AO122" s="117" t="s">
        <v>215</v>
      </c>
      <c r="AP122" s="115">
        <v>3</v>
      </c>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spans="1:72">
      <c r="A123" s="115">
        <v>10</v>
      </c>
      <c r="B123" s="115" t="s">
        <v>227</v>
      </c>
      <c r="C123" s="115" t="s">
        <v>157</v>
      </c>
      <c r="D123" s="115">
        <v>263101289</v>
      </c>
      <c r="E123" s="115" t="s">
        <v>229</v>
      </c>
      <c r="F123" s="115" t="s">
        <v>95</v>
      </c>
      <c r="G123" s="115">
        <v>1</v>
      </c>
      <c r="H123" s="115" t="s">
        <v>155</v>
      </c>
      <c r="I123" s="115" t="s">
        <v>178</v>
      </c>
      <c r="J123" s="115" t="s">
        <v>176</v>
      </c>
      <c r="K123" s="115" t="s">
        <v>177</v>
      </c>
      <c r="L123" s="115" t="s">
        <v>178</v>
      </c>
      <c r="M123" s="115" t="s">
        <v>22</v>
      </c>
      <c r="N123" s="115">
        <v>6</v>
      </c>
      <c r="O123" s="115">
        <v>0</v>
      </c>
      <c r="P123" s="115">
        <v>4</v>
      </c>
      <c r="Q123" s="115">
        <v>1</v>
      </c>
      <c r="R123" s="115">
        <v>0</v>
      </c>
      <c r="S123" s="115" t="s">
        <v>179</v>
      </c>
      <c r="T123" s="115">
        <v>2</v>
      </c>
      <c r="U123" s="115"/>
      <c r="V123" s="115"/>
      <c r="W123" s="115"/>
      <c r="X123" s="115"/>
      <c r="Y123" s="115"/>
      <c r="Z123" s="115"/>
      <c r="AA123" s="115"/>
      <c r="AB123" s="115"/>
      <c r="AC123" s="115"/>
      <c r="AD123" s="115">
        <v>51</v>
      </c>
      <c r="AE123" s="115">
        <v>10.9</v>
      </c>
      <c r="AF123" s="115">
        <v>300</v>
      </c>
      <c r="AG123" s="115">
        <v>6</v>
      </c>
      <c r="AH123" s="115">
        <v>29</v>
      </c>
      <c r="AI123" s="115">
        <v>1130</v>
      </c>
      <c r="AJ123" s="115" t="s">
        <v>180</v>
      </c>
      <c r="AK123" s="115">
        <v>6</v>
      </c>
      <c r="AL123" s="115"/>
      <c r="AM123" s="115"/>
      <c r="AN123" s="116"/>
      <c r="AO123" s="117" t="s">
        <v>157</v>
      </c>
      <c r="AP123" s="115">
        <v>3</v>
      </c>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spans="1:72">
      <c r="A124" s="115">
        <v>8</v>
      </c>
      <c r="B124" s="115" t="s">
        <v>216</v>
      </c>
      <c r="C124" s="115" t="s">
        <v>157</v>
      </c>
      <c r="D124" s="115">
        <v>291032203</v>
      </c>
      <c r="E124" s="115" t="s">
        <v>238</v>
      </c>
      <c r="F124" s="115" t="s">
        <v>87</v>
      </c>
      <c r="G124" s="115">
        <v>1</v>
      </c>
      <c r="H124" s="115" t="s">
        <v>186</v>
      </c>
      <c r="I124" s="115"/>
      <c r="J124" s="115" t="s">
        <v>205</v>
      </c>
      <c r="K124" s="115" t="s">
        <v>189</v>
      </c>
      <c r="L124" s="115"/>
      <c r="M124" s="115"/>
      <c r="N124" s="115"/>
      <c r="O124" s="115">
        <v>0</v>
      </c>
      <c r="P124" s="115">
        <v>0</v>
      </c>
      <c r="Q124" s="115">
        <v>1</v>
      </c>
      <c r="R124" s="115">
        <v>0</v>
      </c>
      <c r="S124" s="115"/>
      <c r="T124" s="115"/>
      <c r="U124" s="115"/>
      <c r="V124" s="115"/>
      <c r="W124" s="115"/>
      <c r="X124" s="115"/>
      <c r="Y124" s="115"/>
      <c r="Z124" s="115"/>
      <c r="AA124" s="115" t="s">
        <v>189</v>
      </c>
      <c r="AB124" s="115"/>
      <c r="AC124" s="115"/>
      <c r="AD124" s="115">
        <v>60</v>
      </c>
      <c r="AE124" s="115">
        <v>11.1</v>
      </c>
      <c r="AF124" s="115">
        <v>300</v>
      </c>
      <c r="AG124" s="115">
        <v>6</v>
      </c>
      <c r="AH124" s="115">
        <v>29</v>
      </c>
      <c r="AI124" s="115">
        <v>1130</v>
      </c>
      <c r="AJ124" s="115" t="s">
        <v>180</v>
      </c>
      <c r="AK124" s="115">
        <v>2</v>
      </c>
      <c r="AL124" s="115"/>
      <c r="AM124" s="115">
        <v>3</v>
      </c>
      <c r="AN124" s="116" t="s">
        <v>282</v>
      </c>
      <c r="AO124" s="117" t="s">
        <v>157</v>
      </c>
      <c r="AP124" s="115">
        <v>4</v>
      </c>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spans="1:72">
      <c r="A125" s="115">
        <v>1</v>
      </c>
      <c r="B125" s="115" t="s">
        <v>174</v>
      </c>
      <c r="C125" s="115" t="s">
        <v>157</v>
      </c>
      <c r="D125" s="115">
        <v>287076669</v>
      </c>
      <c r="E125" s="115" t="s">
        <v>187</v>
      </c>
      <c r="F125" s="115" t="s">
        <v>72</v>
      </c>
      <c r="G125" s="115">
        <v>1</v>
      </c>
      <c r="H125" s="115" t="s">
        <v>178</v>
      </c>
      <c r="I125" s="115" t="s">
        <v>22</v>
      </c>
      <c r="J125" s="115" t="s">
        <v>176</v>
      </c>
      <c r="K125" s="115" t="s">
        <v>189</v>
      </c>
      <c r="L125" s="115"/>
      <c r="M125" s="115"/>
      <c r="N125" s="115"/>
      <c r="O125" s="115">
        <v>0</v>
      </c>
      <c r="P125" s="115">
        <v>3</v>
      </c>
      <c r="Q125" s="115">
        <v>3</v>
      </c>
      <c r="R125" s="115">
        <v>0</v>
      </c>
      <c r="S125" s="115" t="s">
        <v>179</v>
      </c>
      <c r="T125" s="115">
        <v>2</v>
      </c>
      <c r="U125" s="115"/>
      <c r="V125" s="115"/>
      <c r="W125" s="115" t="s">
        <v>178</v>
      </c>
      <c r="X125" s="115"/>
      <c r="Y125" s="115"/>
      <c r="Z125" s="115"/>
      <c r="AA125" s="115"/>
      <c r="AB125" s="115"/>
      <c r="AC125" s="115"/>
      <c r="AD125" s="115">
        <v>61</v>
      </c>
      <c r="AE125" s="115">
        <v>11.9</v>
      </c>
      <c r="AF125" s="115">
        <v>300</v>
      </c>
      <c r="AG125" s="115">
        <v>7</v>
      </c>
      <c r="AH125" s="115">
        <v>3</v>
      </c>
      <c r="AI125" s="115">
        <v>6</v>
      </c>
      <c r="AJ125" s="115" t="s">
        <v>180</v>
      </c>
      <c r="AK125" s="115">
        <v>7</v>
      </c>
      <c r="AL125" s="115"/>
      <c r="AM125" s="115">
        <v>1</v>
      </c>
      <c r="AN125" s="116" t="s">
        <v>283</v>
      </c>
      <c r="AO125" s="118" t="s">
        <v>157</v>
      </c>
      <c r="AP125" s="115">
        <v>1</v>
      </c>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spans="1:72">
      <c r="A126" s="115">
        <v>2</v>
      </c>
      <c r="B126" s="115" t="s">
        <v>174</v>
      </c>
      <c r="C126" s="115" t="s">
        <v>179</v>
      </c>
      <c r="D126" s="115">
        <v>288029955</v>
      </c>
      <c r="E126" s="115" t="s">
        <v>225</v>
      </c>
      <c r="F126" s="115" t="s">
        <v>122</v>
      </c>
      <c r="G126" s="115">
        <v>6</v>
      </c>
      <c r="H126" s="115" t="s">
        <v>22</v>
      </c>
      <c r="I126" s="115"/>
      <c r="J126" s="115" t="s">
        <v>188</v>
      </c>
      <c r="K126" s="115" t="s">
        <v>186</v>
      </c>
      <c r="L126" s="115" t="s">
        <v>22</v>
      </c>
      <c r="M126" s="115"/>
      <c r="N126" s="115"/>
      <c r="O126" s="115">
        <v>2</v>
      </c>
      <c r="P126" s="115">
        <v>0</v>
      </c>
      <c r="Q126" s="115">
        <v>1</v>
      </c>
      <c r="R126" s="115">
        <v>0</v>
      </c>
      <c r="S126" s="115" t="s">
        <v>179</v>
      </c>
      <c r="T126" s="115">
        <v>2</v>
      </c>
      <c r="U126" s="115"/>
      <c r="V126" s="115" t="s">
        <v>178</v>
      </c>
      <c r="W126" s="115" t="s">
        <v>178</v>
      </c>
      <c r="X126" s="115"/>
      <c r="Y126" s="115"/>
      <c r="Z126" s="115"/>
      <c r="AA126" s="115" t="s">
        <v>189</v>
      </c>
      <c r="AB126" s="115"/>
      <c r="AC126" s="115"/>
      <c r="AD126" s="115">
        <v>53</v>
      </c>
      <c r="AE126" s="115">
        <v>9.8000000000000007</v>
      </c>
      <c r="AF126" s="115">
        <v>300</v>
      </c>
      <c r="AG126" s="115">
        <v>7</v>
      </c>
      <c r="AH126" s="115">
        <v>3</v>
      </c>
      <c r="AI126" s="115">
        <v>6</v>
      </c>
      <c r="AJ126" s="115" t="s">
        <v>180</v>
      </c>
      <c r="AK126" s="115">
        <v>21</v>
      </c>
      <c r="AL126" s="115"/>
      <c r="AM126" s="115"/>
      <c r="AN126" s="116"/>
      <c r="AO126" s="117">
        <v>0</v>
      </c>
      <c r="AP126" s="115">
        <v>1</v>
      </c>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spans="1:72">
      <c r="A127" s="115">
        <v>1</v>
      </c>
      <c r="B127" s="115" t="s">
        <v>227</v>
      </c>
      <c r="C127" s="115" t="s">
        <v>179</v>
      </c>
      <c r="D127" s="115">
        <v>230196611</v>
      </c>
      <c r="E127" s="115" t="s">
        <v>181</v>
      </c>
      <c r="F127" s="115" t="s">
        <v>115</v>
      </c>
      <c r="G127" s="115">
        <v>1</v>
      </c>
      <c r="H127" s="115" t="s">
        <v>155</v>
      </c>
      <c r="I127" s="115" t="s">
        <v>22</v>
      </c>
      <c r="J127" s="115" t="s">
        <v>176</v>
      </c>
      <c r="K127" s="115" t="s">
        <v>177</v>
      </c>
      <c r="L127" s="115" t="s">
        <v>178</v>
      </c>
      <c r="M127" s="115" t="s">
        <v>22</v>
      </c>
      <c r="N127" s="115">
        <v>6</v>
      </c>
      <c r="O127" s="115">
        <v>0</v>
      </c>
      <c r="P127" s="115">
        <v>4</v>
      </c>
      <c r="Q127" s="115">
        <v>2</v>
      </c>
      <c r="R127" s="115">
        <v>0</v>
      </c>
      <c r="S127" s="115" t="s">
        <v>179</v>
      </c>
      <c r="T127" s="115">
        <v>2</v>
      </c>
      <c r="U127" s="115"/>
      <c r="V127" s="115"/>
      <c r="W127" s="115"/>
      <c r="X127" s="115"/>
      <c r="Y127" s="115"/>
      <c r="Z127" s="115"/>
      <c r="AA127" s="115"/>
      <c r="AB127" s="115"/>
      <c r="AC127" s="115"/>
      <c r="AD127" s="115">
        <v>80</v>
      </c>
      <c r="AE127" s="115">
        <v>37.9</v>
      </c>
      <c r="AF127" s="115">
        <v>300</v>
      </c>
      <c r="AG127" s="115">
        <v>7</v>
      </c>
      <c r="AH127" s="115">
        <v>3</v>
      </c>
      <c r="AI127" s="115">
        <v>6</v>
      </c>
      <c r="AJ127" s="115" t="s">
        <v>180</v>
      </c>
      <c r="AK127" s="115">
        <v>7</v>
      </c>
      <c r="AL127" s="115"/>
      <c r="AM127" s="115">
        <v>1</v>
      </c>
      <c r="AN127" s="116" t="s">
        <v>295</v>
      </c>
      <c r="AO127" s="117" t="s">
        <v>184</v>
      </c>
      <c r="AP127" s="115">
        <v>3</v>
      </c>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spans="1:72">
      <c r="A128" s="115">
        <v>2</v>
      </c>
      <c r="B128" s="115" t="s">
        <v>227</v>
      </c>
      <c r="C128" s="115" t="s">
        <v>157</v>
      </c>
      <c r="D128" s="115">
        <v>283105241</v>
      </c>
      <c r="E128" s="115" t="s">
        <v>194</v>
      </c>
      <c r="F128" s="115" t="s">
        <v>98</v>
      </c>
      <c r="G128" s="115">
        <v>1</v>
      </c>
      <c r="H128" s="115" t="s">
        <v>155</v>
      </c>
      <c r="I128" s="115" t="s">
        <v>1</v>
      </c>
      <c r="J128" s="115" t="s">
        <v>176</v>
      </c>
      <c r="K128" s="115" t="s">
        <v>186</v>
      </c>
      <c r="L128" s="115" t="s">
        <v>1</v>
      </c>
      <c r="M128" s="115" t="s">
        <v>22</v>
      </c>
      <c r="N128" s="115">
        <v>5</v>
      </c>
      <c r="O128" s="115">
        <v>3</v>
      </c>
      <c r="P128" s="115">
        <v>0</v>
      </c>
      <c r="Q128" s="115">
        <v>0</v>
      </c>
      <c r="R128" s="115">
        <v>0</v>
      </c>
      <c r="S128" s="115" t="s">
        <v>179</v>
      </c>
      <c r="T128" s="115">
        <v>1</v>
      </c>
      <c r="U128" s="115"/>
      <c r="V128" s="115"/>
      <c r="W128" s="115"/>
      <c r="X128" s="115"/>
      <c r="Y128" s="115"/>
      <c r="Z128" s="115"/>
      <c r="AA128" s="115"/>
      <c r="AB128" s="115"/>
      <c r="AC128" s="115"/>
      <c r="AD128" s="115">
        <v>93</v>
      </c>
      <c r="AE128" s="115">
        <v>28.6</v>
      </c>
      <c r="AF128" s="115">
        <v>300</v>
      </c>
      <c r="AG128" s="115">
        <v>7</v>
      </c>
      <c r="AH128" s="115">
        <v>3</v>
      </c>
      <c r="AI128" s="115">
        <v>6</v>
      </c>
      <c r="AJ128" s="115" t="s">
        <v>180</v>
      </c>
      <c r="AK128" s="115">
        <v>7</v>
      </c>
      <c r="AL128" s="115"/>
      <c r="AM128" s="115"/>
      <c r="AN128" s="116"/>
      <c r="AO128" s="117" t="s">
        <v>157</v>
      </c>
      <c r="AP128" s="115">
        <v>3</v>
      </c>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spans="1:72">
      <c r="A129" s="115">
        <v>3</v>
      </c>
      <c r="B129" s="115" t="s">
        <v>227</v>
      </c>
      <c r="C129" s="115" t="s">
        <v>189</v>
      </c>
      <c r="D129" s="115"/>
      <c r="E129" s="115" t="s">
        <v>192</v>
      </c>
      <c r="F129" s="115" t="s">
        <v>37</v>
      </c>
      <c r="G129" s="115">
        <v>2</v>
      </c>
      <c r="H129" s="115" t="s">
        <v>220</v>
      </c>
      <c r="I129" s="115" t="s">
        <v>22</v>
      </c>
      <c r="J129" s="115" t="s">
        <v>232</v>
      </c>
      <c r="K129" s="115" t="s">
        <v>186</v>
      </c>
      <c r="L129" s="115" t="s">
        <v>22</v>
      </c>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v>7</v>
      </c>
      <c r="AH129" s="115">
        <v>3</v>
      </c>
      <c r="AI129" s="115">
        <v>6</v>
      </c>
      <c r="AJ129" s="115" t="s">
        <v>180</v>
      </c>
      <c r="AK129" s="115">
        <v>21</v>
      </c>
      <c r="AL129" s="115"/>
      <c r="AM129" s="115"/>
      <c r="AN129" s="116"/>
      <c r="AO129" s="118" t="s">
        <v>189</v>
      </c>
      <c r="AP129" s="115">
        <v>3</v>
      </c>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spans="1:72">
      <c r="A130" s="115">
        <v>1</v>
      </c>
      <c r="B130" s="115" t="s">
        <v>216</v>
      </c>
      <c r="C130" s="115" t="s">
        <v>179</v>
      </c>
      <c r="D130" s="115">
        <v>172176244</v>
      </c>
      <c r="E130" s="115" t="s">
        <v>175</v>
      </c>
      <c r="F130" s="115" t="s">
        <v>114</v>
      </c>
      <c r="G130" s="115">
        <v>6</v>
      </c>
      <c r="H130" s="115" t="s">
        <v>22</v>
      </c>
      <c r="I130" s="115"/>
      <c r="J130" s="115" t="s">
        <v>188</v>
      </c>
      <c r="K130" s="115" t="s">
        <v>186</v>
      </c>
      <c r="L130" s="115" t="s">
        <v>1</v>
      </c>
      <c r="M130" s="115"/>
      <c r="N130" s="115"/>
      <c r="O130" s="115">
        <v>2</v>
      </c>
      <c r="P130" s="115">
        <v>0</v>
      </c>
      <c r="Q130" s="115">
        <v>0</v>
      </c>
      <c r="R130" s="115"/>
      <c r="S130" s="115" t="s">
        <v>179</v>
      </c>
      <c r="T130" s="115"/>
      <c r="U130" s="115"/>
      <c r="V130" s="115" t="s">
        <v>178</v>
      </c>
      <c r="W130" s="115" t="s">
        <v>178</v>
      </c>
      <c r="X130" s="115"/>
      <c r="Y130" s="115"/>
      <c r="Z130" s="115"/>
      <c r="AA130" s="115" t="s">
        <v>178</v>
      </c>
      <c r="AB130" s="115"/>
      <c r="AC130" s="115"/>
      <c r="AD130" s="115">
        <v>68</v>
      </c>
      <c r="AE130" s="115">
        <v>23.5</v>
      </c>
      <c r="AF130" s="115">
        <v>300</v>
      </c>
      <c r="AG130" s="115">
        <v>7</v>
      </c>
      <c r="AH130" s="115">
        <v>3</v>
      </c>
      <c r="AI130" s="115">
        <v>6</v>
      </c>
      <c r="AJ130" s="115" t="s">
        <v>180</v>
      </c>
      <c r="AK130" s="115">
        <v>20</v>
      </c>
      <c r="AL130" s="115"/>
      <c r="AM130" s="115">
        <v>1</v>
      </c>
      <c r="AN130" s="116" t="s">
        <v>301</v>
      </c>
      <c r="AO130" s="117" t="s">
        <v>203</v>
      </c>
      <c r="AP130" s="115">
        <v>4</v>
      </c>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spans="1:72">
      <c r="A131" s="115">
        <v>6</v>
      </c>
      <c r="B131" s="115" t="s">
        <v>174</v>
      </c>
      <c r="C131" s="115" t="s">
        <v>179</v>
      </c>
      <c r="D131" s="115">
        <v>135291875</v>
      </c>
      <c r="E131" s="115" t="s">
        <v>191</v>
      </c>
      <c r="F131" s="115" t="s">
        <v>99</v>
      </c>
      <c r="G131" s="115">
        <v>2</v>
      </c>
      <c r="H131" s="115" t="s">
        <v>183</v>
      </c>
      <c r="I131" s="115"/>
      <c r="J131" s="115" t="s">
        <v>232</v>
      </c>
      <c r="K131" s="115" t="s">
        <v>189</v>
      </c>
      <c r="L131" s="115"/>
      <c r="M131" s="115"/>
      <c r="N131" s="115"/>
      <c r="O131" s="115">
        <v>0</v>
      </c>
      <c r="P131" s="115">
        <v>0</v>
      </c>
      <c r="Q131" s="115">
        <v>1</v>
      </c>
      <c r="R131" s="115">
        <v>1</v>
      </c>
      <c r="S131" s="115" t="s">
        <v>179</v>
      </c>
      <c r="T131" s="115">
        <v>1</v>
      </c>
      <c r="U131" s="115">
        <v>3</v>
      </c>
      <c r="V131" s="115" t="s">
        <v>183</v>
      </c>
      <c r="W131" s="115" t="s">
        <v>183</v>
      </c>
      <c r="X131" s="115"/>
      <c r="Y131" s="115"/>
      <c r="Z131" s="115"/>
      <c r="AA131" s="115" t="s">
        <v>183</v>
      </c>
      <c r="AB131" s="115"/>
      <c r="AC131" s="115"/>
      <c r="AD131" s="115">
        <v>128</v>
      </c>
      <c r="AE131" s="115">
        <v>75</v>
      </c>
      <c r="AF131" s="115">
        <v>300</v>
      </c>
      <c r="AG131" s="115">
        <v>7</v>
      </c>
      <c r="AH131" s="115">
        <v>3</v>
      </c>
      <c r="AI131" s="115">
        <v>9</v>
      </c>
      <c r="AJ131" s="115" t="s">
        <v>180</v>
      </c>
      <c r="AK131" s="115">
        <v>15</v>
      </c>
      <c r="AL131" s="115"/>
      <c r="AM131" s="115"/>
      <c r="AN131" s="116"/>
      <c r="AO131" s="117">
        <v>2</v>
      </c>
      <c r="AP131" s="115">
        <v>1</v>
      </c>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spans="1:72">
      <c r="A132" s="115">
        <v>7</v>
      </c>
      <c r="B132" s="115" t="s">
        <v>174</v>
      </c>
      <c r="C132" s="115" t="s">
        <v>157</v>
      </c>
      <c r="D132" s="115">
        <v>230196611</v>
      </c>
      <c r="E132" s="115" t="s">
        <v>181</v>
      </c>
      <c r="F132" s="115" t="s">
        <v>115</v>
      </c>
      <c r="G132" s="115">
        <v>6</v>
      </c>
      <c r="H132" s="115" t="s">
        <v>22</v>
      </c>
      <c r="I132" s="115"/>
      <c r="J132" s="115" t="s">
        <v>188</v>
      </c>
      <c r="K132" s="115" t="s">
        <v>177</v>
      </c>
      <c r="L132" s="115" t="s">
        <v>22</v>
      </c>
      <c r="M132" s="115"/>
      <c r="N132" s="115"/>
      <c r="O132" s="115"/>
      <c r="P132" s="115"/>
      <c r="Q132" s="115"/>
      <c r="R132" s="115"/>
      <c r="S132" s="115"/>
      <c r="T132" s="115"/>
      <c r="U132" s="115"/>
      <c r="V132" s="115" t="s">
        <v>178</v>
      </c>
      <c r="W132" s="115"/>
      <c r="X132" s="115"/>
      <c r="Y132" s="115"/>
      <c r="Z132" s="115"/>
      <c r="AA132" s="115" t="s">
        <v>178</v>
      </c>
      <c r="AB132" s="115"/>
      <c r="AC132" s="115"/>
      <c r="AD132" s="115">
        <v>79</v>
      </c>
      <c r="AE132" s="115"/>
      <c r="AF132" s="115">
        <v>300</v>
      </c>
      <c r="AG132" s="115">
        <v>7</v>
      </c>
      <c r="AH132" s="115">
        <v>3</v>
      </c>
      <c r="AI132" s="115">
        <v>9</v>
      </c>
      <c r="AJ132" s="115" t="s">
        <v>180</v>
      </c>
      <c r="AK132" s="115">
        <v>7</v>
      </c>
      <c r="AL132" s="115"/>
      <c r="AM132" s="115">
        <v>3</v>
      </c>
      <c r="AN132" s="116" t="s">
        <v>285</v>
      </c>
      <c r="AO132" s="117" t="s">
        <v>157</v>
      </c>
      <c r="AP132" s="115">
        <v>1</v>
      </c>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spans="1:72">
      <c r="A133" s="115">
        <v>8</v>
      </c>
      <c r="B133" s="115" t="s">
        <v>288</v>
      </c>
      <c r="C133" s="115" t="s">
        <v>179</v>
      </c>
      <c r="D133" s="115">
        <v>288029961</v>
      </c>
      <c r="E133" s="115" t="s">
        <v>225</v>
      </c>
      <c r="F133" s="115" t="s">
        <v>122</v>
      </c>
      <c r="G133" s="115">
        <v>2</v>
      </c>
      <c r="H133" s="115" t="s">
        <v>22</v>
      </c>
      <c r="I133" s="115"/>
      <c r="J133" s="115" t="s">
        <v>278</v>
      </c>
      <c r="K133" s="115" t="s">
        <v>189</v>
      </c>
      <c r="L133" s="115"/>
      <c r="M133" s="115"/>
      <c r="N133" s="115">
        <v>2</v>
      </c>
      <c r="O133" s="115">
        <v>0</v>
      </c>
      <c r="P133" s="115">
        <v>0</v>
      </c>
      <c r="Q133" s="115">
        <v>1</v>
      </c>
      <c r="R133" s="115">
        <v>4</v>
      </c>
      <c r="S133" s="115" t="s">
        <v>179</v>
      </c>
      <c r="T133" s="115">
        <v>1</v>
      </c>
      <c r="U133" s="115">
        <v>3</v>
      </c>
      <c r="V133" s="115"/>
      <c r="W133" s="115"/>
      <c r="X133" s="115"/>
      <c r="Y133" s="115"/>
      <c r="Z133" s="115"/>
      <c r="AA133" s="115"/>
      <c r="AB133" s="115"/>
      <c r="AC133" s="115"/>
      <c r="AD133" s="115">
        <v>52</v>
      </c>
      <c r="AE133" s="115">
        <v>9</v>
      </c>
      <c r="AF133" s="115">
        <v>300</v>
      </c>
      <c r="AG133" s="115">
        <v>7</v>
      </c>
      <c r="AH133" s="115">
        <v>3</v>
      </c>
      <c r="AI133" s="115">
        <v>9</v>
      </c>
      <c r="AJ133" s="115" t="s">
        <v>180</v>
      </c>
      <c r="AK133" s="115">
        <v>21</v>
      </c>
      <c r="AL133" s="115"/>
      <c r="AM133" s="115"/>
      <c r="AN133" s="116"/>
      <c r="AO133" s="118">
        <v>0</v>
      </c>
      <c r="AP133" s="115">
        <v>2</v>
      </c>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spans="1:72">
      <c r="A134" s="115">
        <v>7</v>
      </c>
      <c r="B134" s="115" t="s">
        <v>227</v>
      </c>
      <c r="C134" s="115" t="s">
        <v>157</v>
      </c>
      <c r="D134" s="115">
        <v>288029958</v>
      </c>
      <c r="E134" s="115" t="s">
        <v>238</v>
      </c>
      <c r="F134" s="115" t="s">
        <v>87</v>
      </c>
      <c r="G134" s="115">
        <v>2</v>
      </c>
      <c r="H134" s="115" t="s">
        <v>22</v>
      </c>
      <c r="I134" s="115"/>
      <c r="J134" s="115" t="s">
        <v>296</v>
      </c>
      <c r="K134" s="115" t="s">
        <v>189</v>
      </c>
      <c r="L134" s="115"/>
      <c r="M134" s="115"/>
      <c r="N134" s="115">
        <v>6</v>
      </c>
      <c r="O134" s="115">
        <v>0</v>
      </c>
      <c r="P134" s="115">
        <v>0</v>
      </c>
      <c r="Q134" s="115">
        <v>1</v>
      </c>
      <c r="R134" s="115">
        <v>0</v>
      </c>
      <c r="S134" s="115" t="s">
        <v>155</v>
      </c>
      <c r="T134" s="115">
        <v>2</v>
      </c>
      <c r="U134" s="115"/>
      <c r="V134" s="115"/>
      <c r="W134" s="115"/>
      <c r="X134" s="115"/>
      <c r="Y134" s="115"/>
      <c r="Z134" s="115"/>
      <c r="AA134" s="115"/>
      <c r="AB134" s="115"/>
      <c r="AC134" s="115"/>
      <c r="AD134" s="115">
        <v>61</v>
      </c>
      <c r="AE134" s="115">
        <v>10.6</v>
      </c>
      <c r="AF134" s="115">
        <v>300</v>
      </c>
      <c r="AG134" s="115">
        <v>7</v>
      </c>
      <c r="AH134" s="115">
        <v>3</v>
      </c>
      <c r="AI134" s="115">
        <v>9</v>
      </c>
      <c r="AJ134" s="115" t="s">
        <v>180</v>
      </c>
      <c r="AK134" s="115">
        <v>9</v>
      </c>
      <c r="AL134" s="115"/>
      <c r="AM134" s="115">
        <v>4</v>
      </c>
      <c r="AN134" s="116" t="s">
        <v>299</v>
      </c>
      <c r="AO134" s="117" t="s">
        <v>157</v>
      </c>
      <c r="AP134" s="115">
        <v>3</v>
      </c>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spans="1:72">
      <c r="A135" s="115">
        <v>8</v>
      </c>
      <c r="B135" s="115" t="s">
        <v>227</v>
      </c>
      <c r="C135" s="115" t="s">
        <v>179</v>
      </c>
      <c r="D135" s="115">
        <v>172176245</v>
      </c>
      <c r="E135" s="115" t="s">
        <v>206</v>
      </c>
      <c r="F135" s="115" t="s">
        <v>105</v>
      </c>
      <c r="G135" s="115">
        <v>2</v>
      </c>
      <c r="H135" s="115" t="s">
        <v>220</v>
      </c>
      <c r="I135" s="115" t="s">
        <v>155</v>
      </c>
      <c r="J135" s="115" t="s">
        <v>232</v>
      </c>
      <c r="K135" s="115" t="s">
        <v>189</v>
      </c>
      <c r="L135" s="115"/>
      <c r="M135" s="115"/>
      <c r="N135" s="115">
        <v>4</v>
      </c>
      <c r="O135" s="115">
        <v>0</v>
      </c>
      <c r="P135" s="115">
        <v>0</v>
      </c>
      <c r="Q135" s="115">
        <v>1</v>
      </c>
      <c r="R135" s="115">
        <v>1</v>
      </c>
      <c r="S135" s="115" t="s">
        <v>179</v>
      </c>
      <c r="T135" s="115">
        <v>1</v>
      </c>
      <c r="U135" s="115">
        <v>3</v>
      </c>
      <c r="V135" s="115"/>
      <c r="W135" s="115"/>
      <c r="X135" s="115"/>
      <c r="Y135" s="115"/>
      <c r="Z135" s="115"/>
      <c r="AA135" s="115"/>
      <c r="AB135" s="115"/>
      <c r="AC135" s="115"/>
      <c r="AD135" s="115">
        <v>81</v>
      </c>
      <c r="AE135" s="115">
        <v>21.8</v>
      </c>
      <c r="AF135" s="115">
        <v>300</v>
      </c>
      <c r="AG135" s="115">
        <v>7</v>
      </c>
      <c r="AH135" s="115">
        <v>3</v>
      </c>
      <c r="AI135" s="115">
        <v>9</v>
      </c>
      <c r="AJ135" s="115" t="s">
        <v>180</v>
      </c>
      <c r="AK135" s="115">
        <v>15</v>
      </c>
      <c r="AL135" s="115"/>
      <c r="AM135" s="115"/>
      <c r="AN135" s="116"/>
      <c r="AO135" s="117" t="s">
        <v>203</v>
      </c>
      <c r="AP135" s="115">
        <v>3</v>
      </c>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spans="1:72">
      <c r="A136" s="115">
        <v>3</v>
      </c>
      <c r="B136" s="115" t="s">
        <v>174</v>
      </c>
      <c r="C136" s="115" t="s">
        <v>179</v>
      </c>
      <c r="D136" s="115">
        <v>288029956</v>
      </c>
      <c r="E136" s="115" t="s">
        <v>225</v>
      </c>
      <c r="F136" s="115" t="s">
        <v>122</v>
      </c>
      <c r="G136" s="115">
        <v>2</v>
      </c>
      <c r="H136" s="115" t="s">
        <v>183</v>
      </c>
      <c r="I136" s="115"/>
      <c r="J136" s="115" t="s">
        <v>232</v>
      </c>
      <c r="K136" s="115" t="s">
        <v>189</v>
      </c>
      <c r="L136" s="115"/>
      <c r="M136" s="115"/>
      <c r="N136" s="115">
        <v>1</v>
      </c>
      <c r="O136" s="115">
        <v>0</v>
      </c>
      <c r="P136" s="115">
        <v>0</v>
      </c>
      <c r="Q136" s="115">
        <v>2</v>
      </c>
      <c r="R136" s="115">
        <v>2</v>
      </c>
      <c r="S136" s="115" t="s">
        <v>179</v>
      </c>
      <c r="T136" s="115">
        <v>1</v>
      </c>
      <c r="U136" s="115">
        <v>3</v>
      </c>
      <c r="V136" s="115" t="s">
        <v>183</v>
      </c>
      <c r="W136" s="115"/>
      <c r="X136" s="115"/>
      <c r="Y136" s="115"/>
      <c r="Z136" s="115"/>
      <c r="AA136" s="115"/>
      <c r="AB136" s="115"/>
      <c r="AC136" s="115"/>
      <c r="AD136" s="115">
        <v>52</v>
      </c>
      <c r="AE136" s="115">
        <v>8.3000000000000007</v>
      </c>
      <c r="AF136" s="115">
        <v>300</v>
      </c>
      <c r="AG136" s="115">
        <v>7</v>
      </c>
      <c r="AH136" s="115">
        <v>3</v>
      </c>
      <c r="AI136" s="115">
        <v>630</v>
      </c>
      <c r="AJ136" s="115" t="s">
        <v>180</v>
      </c>
      <c r="AK136" s="115">
        <v>21</v>
      </c>
      <c r="AL136" s="115"/>
      <c r="AM136" s="115"/>
      <c r="AN136" s="116"/>
      <c r="AO136" s="117">
        <v>0</v>
      </c>
      <c r="AP136" s="115">
        <v>1</v>
      </c>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spans="1:72">
      <c r="A137" s="115">
        <v>1</v>
      </c>
      <c r="B137" s="115" t="s">
        <v>288</v>
      </c>
      <c r="C137" s="115" t="s">
        <v>157</v>
      </c>
      <c r="D137" s="115">
        <v>172176237</v>
      </c>
      <c r="E137" s="115" t="s">
        <v>175</v>
      </c>
      <c r="F137" s="115" t="s">
        <v>114</v>
      </c>
      <c r="G137" s="115">
        <v>1</v>
      </c>
      <c r="H137" s="115" t="s">
        <v>178</v>
      </c>
      <c r="I137" s="115"/>
      <c r="J137" s="115" t="s">
        <v>188</v>
      </c>
      <c r="K137" s="115" t="s">
        <v>186</v>
      </c>
      <c r="L137" s="115" t="s">
        <v>1</v>
      </c>
      <c r="M137" s="115"/>
      <c r="N137" s="115"/>
      <c r="O137" s="115">
        <v>2</v>
      </c>
      <c r="P137" s="115">
        <v>0</v>
      </c>
      <c r="Q137" s="115">
        <v>1</v>
      </c>
      <c r="R137" s="115">
        <v>0</v>
      </c>
      <c r="S137" s="115" t="s">
        <v>179</v>
      </c>
      <c r="T137" s="115">
        <v>2</v>
      </c>
      <c r="U137" s="115"/>
      <c r="V137" s="115"/>
      <c r="W137" s="115"/>
      <c r="X137" s="115"/>
      <c r="Y137" s="115"/>
      <c r="Z137" s="115"/>
      <c r="AA137" s="115"/>
      <c r="AB137" s="115"/>
      <c r="AC137" s="115"/>
      <c r="AD137" s="115">
        <v>66</v>
      </c>
      <c r="AE137" s="115">
        <v>22.6</v>
      </c>
      <c r="AF137" s="115">
        <v>300</v>
      </c>
      <c r="AG137" s="115">
        <v>7</v>
      </c>
      <c r="AH137" s="115">
        <v>3</v>
      </c>
      <c r="AI137" s="115">
        <v>630</v>
      </c>
      <c r="AJ137" s="115" t="s">
        <v>180</v>
      </c>
      <c r="AK137" s="115">
        <v>10</v>
      </c>
      <c r="AL137" s="115"/>
      <c r="AM137" s="115"/>
      <c r="AN137" s="116"/>
      <c r="AO137" s="117" t="s">
        <v>157</v>
      </c>
      <c r="AP137" s="115">
        <v>2</v>
      </c>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spans="1:72">
      <c r="A138" s="115">
        <v>2</v>
      </c>
      <c r="B138" s="115" t="s">
        <v>288</v>
      </c>
      <c r="C138" s="115" t="s">
        <v>157</v>
      </c>
      <c r="D138" s="115">
        <v>178168889</v>
      </c>
      <c r="E138" s="115" t="s">
        <v>181</v>
      </c>
      <c r="F138" s="115" t="s">
        <v>115</v>
      </c>
      <c r="G138" s="115">
        <v>6</v>
      </c>
      <c r="H138" s="115" t="s">
        <v>22</v>
      </c>
      <c r="I138" s="115"/>
      <c r="J138" s="115" t="s">
        <v>188</v>
      </c>
      <c r="K138" s="115" t="s">
        <v>186</v>
      </c>
      <c r="L138" s="115" t="s">
        <v>1</v>
      </c>
      <c r="M138" s="115"/>
      <c r="N138" s="115"/>
      <c r="O138" s="115">
        <v>3</v>
      </c>
      <c r="P138" s="115">
        <v>0</v>
      </c>
      <c r="Q138" s="115">
        <v>2</v>
      </c>
      <c r="R138" s="115">
        <v>1</v>
      </c>
      <c r="S138" s="115" t="s">
        <v>270</v>
      </c>
      <c r="T138" s="115">
        <v>2</v>
      </c>
      <c r="U138" s="115"/>
      <c r="V138" s="115"/>
      <c r="W138" s="115"/>
      <c r="X138" s="115"/>
      <c r="Y138" s="115"/>
      <c r="Z138" s="115"/>
      <c r="AA138" s="115"/>
      <c r="AB138" s="115"/>
      <c r="AC138" s="115"/>
      <c r="AD138" s="115">
        <v>86</v>
      </c>
      <c r="AE138" s="115">
        <v>37.6</v>
      </c>
      <c r="AF138" s="115">
        <v>300</v>
      </c>
      <c r="AG138" s="115">
        <v>7</v>
      </c>
      <c r="AH138" s="115">
        <v>3</v>
      </c>
      <c r="AI138" s="115">
        <v>630</v>
      </c>
      <c r="AJ138" s="115" t="s">
        <v>180</v>
      </c>
      <c r="AK138" s="115">
        <v>7</v>
      </c>
      <c r="AL138" s="115"/>
      <c r="AM138" s="115"/>
      <c r="AN138" s="116"/>
      <c r="AO138" s="117" t="s">
        <v>157</v>
      </c>
      <c r="AP138" s="115">
        <v>2</v>
      </c>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spans="1:72">
      <c r="A139" s="115">
        <v>3</v>
      </c>
      <c r="B139" s="115" t="s">
        <v>288</v>
      </c>
      <c r="C139" s="115" t="s">
        <v>157</v>
      </c>
      <c r="D139" s="115">
        <v>279113620</v>
      </c>
      <c r="E139" s="115" t="s">
        <v>175</v>
      </c>
      <c r="F139" s="115" t="s">
        <v>114</v>
      </c>
      <c r="G139" s="115">
        <v>1</v>
      </c>
      <c r="H139" s="115" t="s">
        <v>22</v>
      </c>
      <c r="I139" s="115"/>
      <c r="J139" s="115" t="s">
        <v>176</v>
      </c>
      <c r="K139" s="115" t="s">
        <v>177</v>
      </c>
      <c r="L139" s="115" t="s">
        <v>178</v>
      </c>
      <c r="M139" s="115"/>
      <c r="N139" s="115"/>
      <c r="O139" s="115">
        <v>0</v>
      </c>
      <c r="P139" s="115">
        <v>2</v>
      </c>
      <c r="Q139" s="115">
        <v>1</v>
      </c>
      <c r="R139" s="115">
        <v>0</v>
      </c>
      <c r="S139" s="115" t="s">
        <v>179</v>
      </c>
      <c r="T139" s="115">
        <v>2</v>
      </c>
      <c r="U139" s="115"/>
      <c r="V139" s="115"/>
      <c r="W139" s="115"/>
      <c r="X139" s="115"/>
      <c r="Y139" s="115"/>
      <c r="Z139" s="115"/>
      <c r="AA139" s="115"/>
      <c r="AB139" s="115"/>
      <c r="AC139" s="115"/>
      <c r="AD139" s="115">
        <v>67</v>
      </c>
      <c r="AE139" s="115">
        <v>26.1</v>
      </c>
      <c r="AF139" s="115">
        <v>300</v>
      </c>
      <c r="AG139" s="115">
        <v>7</v>
      </c>
      <c r="AH139" s="115">
        <v>3</v>
      </c>
      <c r="AI139" s="115">
        <v>630</v>
      </c>
      <c r="AJ139" s="115" t="s">
        <v>180</v>
      </c>
      <c r="AK139" s="115">
        <v>20</v>
      </c>
      <c r="AL139" s="115"/>
      <c r="AM139" s="115"/>
      <c r="AN139" s="116"/>
      <c r="AO139" s="117" t="s">
        <v>157</v>
      </c>
      <c r="AP139" s="115">
        <v>2</v>
      </c>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spans="1:72">
      <c r="A140" s="115">
        <v>4</v>
      </c>
      <c r="B140" s="115" t="s">
        <v>227</v>
      </c>
      <c r="C140" s="115" t="s">
        <v>157</v>
      </c>
      <c r="D140" s="115">
        <v>283105233</v>
      </c>
      <c r="E140" s="115" t="s">
        <v>175</v>
      </c>
      <c r="F140" s="115" t="s">
        <v>114</v>
      </c>
      <c r="G140" s="115">
        <v>1</v>
      </c>
      <c r="H140" s="115" t="s">
        <v>155</v>
      </c>
      <c r="I140" s="115" t="s">
        <v>1</v>
      </c>
      <c r="J140" s="115" t="s">
        <v>176</v>
      </c>
      <c r="K140" s="115" t="s">
        <v>186</v>
      </c>
      <c r="L140" s="115" t="s">
        <v>1</v>
      </c>
      <c r="M140" s="115" t="s">
        <v>22</v>
      </c>
      <c r="N140" s="115">
        <v>5</v>
      </c>
      <c r="O140" s="115">
        <v>3</v>
      </c>
      <c r="P140" s="115">
        <v>0</v>
      </c>
      <c r="Q140" s="115">
        <v>0</v>
      </c>
      <c r="R140" s="115">
        <v>0</v>
      </c>
      <c r="S140" s="115" t="s">
        <v>179</v>
      </c>
      <c r="T140" s="115">
        <v>3</v>
      </c>
      <c r="U140" s="115"/>
      <c r="V140" s="115"/>
      <c r="W140" s="115"/>
      <c r="X140" s="115"/>
      <c r="Y140" s="115"/>
      <c r="Z140" s="115"/>
      <c r="AA140" s="115"/>
      <c r="AB140" s="115"/>
      <c r="AC140" s="115"/>
      <c r="AD140" s="115">
        <v>64</v>
      </c>
      <c r="AE140" s="115">
        <v>23.8</v>
      </c>
      <c r="AF140" s="115">
        <v>300</v>
      </c>
      <c r="AG140" s="115">
        <v>7</v>
      </c>
      <c r="AH140" s="115">
        <v>3</v>
      </c>
      <c r="AI140" s="115">
        <v>630</v>
      </c>
      <c r="AJ140" s="115" t="s">
        <v>180</v>
      </c>
      <c r="AK140" s="115">
        <v>15</v>
      </c>
      <c r="AL140" s="115"/>
      <c r="AM140" s="115"/>
      <c r="AN140" s="116"/>
      <c r="AO140" s="117" t="s">
        <v>157</v>
      </c>
      <c r="AP140" s="115">
        <v>3</v>
      </c>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spans="1:72">
      <c r="A141" s="115">
        <v>2</v>
      </c>
      <c r="B141" s="115" t="s">
        <v>216</v>
      </c>
      <c r="C141" s="115" t="s">
        <v>157</v>
      </c>
      <c r="D141" s="115">
        <v>283105242</v>
      </c>
      <c r="E141" s="115" t="s">
        <v>194</v>
      </c>
      <c r="F141" s="115" t="s">
        <v>98</v>
      </c>
      <c r="G141" s="115">
        <v>1</v>
      </c>
      <c r="H141" s="115" t="s">
        <v>22</v>
      </c>
      <c r="I141" s="115"/>
      <c r="J141" s="115" t="s">
        <v>278</v>
      </c>
      <c r="K141" s="115" t="s">
        <v>177</v>
      </c>
      <c r="L141" s="115" t="s">
        <v>178</v>
      </c>
      <c r="M141" s="115"/>
      <c r="N141" s="115"/>
      <c r="O141" s="115">
        <v>0</v>
      </c>
      <c r="P141" s="115">
        <v>3</v>
      </c>
      <c r="Q141" s="115">
        <v>1</v>
      </c>
      <c r="R141" s="115">
        <v>0</v>
      </c>
      <c r="S141" s="115" t="s">
        <v>179</v>
      </c>
      <c r="T141" s="115">
        <v>3</v>
      </c>
      <c r="U141" s="115"/>
      <c r="V141" s="115"/>
      <c r="W141" s="115"/>
      <c r="X141" s="115"/>
      <c r="Y141" s="115"/>
      <c r="Z141" s="115"/>
      <c r="AA141" s="115"/>
      <c r="AB141" s="115"/>
      <c r="AC141" s="115"/>
      <c r="AD141" s="115">
        <v>93</v>
      </c>
      <c r="AE141" s="115">
        <v>33.6</v>
      </c>
      <c r="AF141" s="115">
        <v>300</v>
      </c>
      <c r="AG141" s="115">
        <v>7</v>
      </c>
      <c r="AH141" s="115">
        <v>3</v>
      </c>
      <c r="AI141" s="115">
        <v>630</v>
      </c>
      <c r="AJ141" s="115" t="s">
        <v>180</v>
      </c>
      <c r="AK141" s="115">
        <v>9</v>
      </c>
      <c r="AL141" s="115"/>
      <c r="AM141" s="115">
        <v>2</v>
      </c>
      <c r="AN141" s="116" t="s">
        <v>302</v>
      </c>
      <c r="AO141" s="118" t="s">
        <v>157</v>
      </c>
      <c r="AP141" s="115">
        <v>4</v>
      </c>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spans="1:72">
      <c r="A142" s="115">
        <v>4</v>
      </c>
      <c r="B142" s="115" t="s">
        <v>174</v>
      </c>
      <c r="C142" s="115" t="s">
        <v>179</v>
      </c>
      <c r="D142" s="115">
        <v>288029957</v>
      </c>
      <c r="E142" s="115" t="s">
        <v>225</v>
      </c>
      <c r="F142" s="115" t="s">
        <v>122</v>
      </c>
      <c r="G142" s="115">
        <v>5</v>
      </c>
      <c r="H142" s="115" t="s">
        <v>22</v>
      </c>
      <c r="I142" s="115" t="s">
        <v>177</v>
      </c>
      <c r="J142" s="115" t="s">
        <v>232</v>
      </c>
      <c r="K142" s="115" t="s">
        <v>177</v>
      </c>
      <c r="L142" s="115" t="s">
        <v>22</v>
      </c>
      <c r="M142" s="115"/>
      <c r="N142" s="115"/>
      <c r="O142" s="115">
        <v>0</v>
      </c>
      <c r="P142" s="115">
        <v>3</v>
      </c>
      <c r="Q142" s="115">
        <v>2</v>
      </c>
      <c r="R142" s="115">
        <v>0</v>
      </c>
      <c r="S142" s="115" t="s">
        <v>179</v>
      </c>
      <c r="T142" s="115">
        <v>3</v>
      </c>
      <c r="U142" s="115"/>
      <c r="V142" s="115" t="s">
        <v>183</v>
      </c>
      <c r="W142" s="115" t="s">
        <v>183</v>
      </c>
      <c r="X142" s="115"/>
      <c r="Y142" s="115"/>
      <c r="Z142" s="115"/>
      <c r="AA142" s="115" t="s">
        <v>189</v>
      </c>
      <c r="AB142" s="115"/>
      <c r="AC142" s="115"/>
      <c r="AD142" s="115">
        <v>50</v>
      </c>
      <c r="AE142" s="115">
        <v>9.6</v>
      </c>
      <c r="AF142" s="115">
        <v>300</v>
      </c>
      <c r="AG142" s="115">
        <v>7</v>
      </c>
      <c r="AH142" s="115">
        <v>3</v>
      </c>
      <c r="AI142" s="115">
        <v>710</v>
      </c>
      <c r="AJ142" s="115" t="s">
        <v>180</v>
      </c>
      <c r="AK142" s="115">
        <v>21</v>
      </c>
      <c r="AL142" s="115"/>
      <c r="AM142" s="115"/>
      <c r="AN142" s="116"/>
      <c r="AO142" s="118">
        <v>0</v>
      </c>
      <c r="AP142" s="115">
        <v>1</v>
      </c>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spans="1:72">
      <c r="A143" s="115">
        <v>4</v>
      </c>
      <c r="B143" s="115" t="s">
        <v>288</v>
      </c>
      <c r="C143" s="115" t="s">
        <v>157</v>
      </c>
      <c r="D143" s="115">
        <v>283105290</v>
      </c>
      <c r="E143" s="115" t="s">
        <v>194</v>
      </c>
      <c r="F143" s="115" t="s">
        <v>98</v>
      </c>
      <c r="G143" s="115">
        <v>1</v>
      </c>
      <c r="H143" s="115" t="s">
        <v>22</v>
      </c>
      <c r="I143" s="115"/>
      <c r="J143" s="115" t="s">
        <v>176</v>
      </c>
      <c r="K143" s="115" t="s">
        <v>177</v>
      </c>
      <c r="L143" s="115" t="s">
        <v>178</v>
      </c>
      <c r="M143" s="115"/>
      <c r="N143" s="115"/>
      <c r="O143" s="115">
        <v>0</v>
      </c>
      <c r="P143" s="115">
        <v>2</v>
      </c>
      <c r="Q143" s="115">
        <v>1</v>
      </c>
      <c r="R143" s="115">
        <v>0</v>
      </c>
      <c r="S143" s="115" t="s">
        <v>179</v>
      </c>
      <c r="T143" s="115">
        <v>2</v>
      </c>
      <c r="U143" s="115"/>
      <c r="V143" s="115"/>
      <c r="W143" s="115"/>
      <c r="X143" s="115"/>
      <c r="Y143" s="115"/>
      <c r="Z143" s="115"/>
      <c r="AA143" s="115"/>
      <c r="AB143" s="115"/>
      <c r="AC143" s="115"/>
      <c r="AD143" s="115">
        <v>91</v>
      </c>
      <c r="AE143" s="115">
        <v>29</v>
      </c>
      <c r="AF143" s="115">
        <v>300</v>
      </c>
      <c r="AG143" s="115">
        <v>7</v>
      </c>
      <c r="AH143" s="115">
        <v>3</v>
      </c>
      <c r="AI143" s="115">
        <v>710</v>
      </c>
      <c r="AJ143" s="115" t="s">
        <v>180</v>
      </c>
      <c r="AK143" s="115">
        <v>14</v>
      </c>
      <c r="AL143" s="115"/>
      <c r="AM143" s="115">
        <v>1</v>
      </c>
      <c r="AN143" s="116" t="s">
        <v>289</v>
      </c>
      <c r="AO143" s="117" t="s">
        <v>157</v>
      </c>
      <c r="AP143" s="115">
        <v>2</v>
      </c>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spans="1:72">
      <c r="A144" s="115">
        <v>5</v>
      </c>
      <c r="B144" s="115" t="s">
        <v>207</v>
      </c>
      <c r="C144" s="115" t="s">
        <v>189</v>
      </c>
      <c r="D144" s="115"/>
      <c r="E144" s="115" t="s">
        <v>193</v>
      </c>
      <c r="F144" s="115" t="s">
        <v>32</v>
      </c>
      <c r="G144" s="115">
        <v>9</v>
      </c>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v>7</v>
      </c>
      <c r="AH144" s="115">
        <v>3</v>
      </c>
      <c r="AI144" s="115">
        <v>710</v>
      </c>
      <c r="AJ144" s="115" t="s">
        <v>180</v>
      </c>
      <c r="AK144" s="115">
        <v>9</v>
      </c>
      <c r="AL144" s="115"/>
      <c r="AM144" s="115"/>
      <c r="AN144" s="116"/>
      <c r="AO144" s="117" t="s">
        <v>189</v>
      </c>
      <c r="AP144" s="115">
        <v>2</v>
      </c>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spans="1:72">
      <c r="A145" s="115">
        <v>6</v>
      </c>
      <c r="B145" s="115" t="s">
        <v>288</v>
      </c>
      <c r="C145" s="115" t="s">
        <v>179</v>
      </c>
      <c r="D145" s="115">
        <v>281191236</v>
      </c>
      <c r="E145" s="115" t="s">
        <v>206</v>
      </c>
      <c r="F145" s="115" t="s">
        <v>105</v>
      </c>
      <c r="G145" s="115">
        <v>6</v>
      </c>
      <c r="H145" s="115" t="s">
        <v>22</v>
      </c>
      <c r="I145" s="115"/>
      <c r="J145" s="115" t="s">
        <v>188</v>
      </c>
      <c r="K145" s="115" t="s">
        <v>177</v>
      </c>
      <c r="L145" s="115" t="s">
        <v>178</v>
      </c>
      <c r="M145" s="115"/>
      <c r="N145" s="115"/>
      <c r="O145" s="115">
        <v>0</v>
      </c>
      <c r="P145" s="115">
        <v>4</v>
      </c>
      <c r="Q145" s="115">
        <v>4</v>
      </c>
      <c r="R145" s="115">
        <v>0</v>
      </c>
      <c r="S145" s="115" t="s">
        <v>179</v>
      </c>
      <c r="T145" s="115">
        <v>1</v>
      </c>
      <c r="U145" s="115"/>
      <c r="V145" s="115"/>
      <c r="W145" s="115"/>
      <c r="X145" s="115"/>
      <c r="Y145" s="115"/>
      <c r="Z145" s="115"/>
      <c r="AA145" s="115"/>
      <c r="AB145" s="115"/>
      <c r="AC145" s="115"/>
      <c r="AD145" s="115">
        <v>80</v>
      </c>
      <c r="AE145" s="115">
        <v>24.2</v>
      </c>
      <c r="AF145" s="115">
        <v>300</v>
      </c>
      <c r="AG145" s="115">
        <v>7</v>
      </c>
      <c r="AH145" s="115">
        <v>3</v>
      </c>
      <c r="AI145" s="115">
        <v>710</v>
      </c>
      <c r="AJ145" s="115" t="s">
        <v>180</v>
      </c>
      <c r="AK145" s="115">
        <v>9</v>
      </c>
      <c r="AL145" s="115"/>
      <c r="AM145" s="115"/>
      <c r="AN145" s="116"/>
      <c r="AO145" s="117">
        <v>1</v>
      </c>
      <c r="AP145" s="115">
        <v>2</v>
      </c>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spans="1:72">
      <c r="A146" s="115">
        <v>5</v>
      </c>
      <c r="B146" s="115" t="s">
        <v>227</v>
      </c>
      <c r="C146" s="115" t="s">
        <v>179</v>
      </c>
      <c r="D146" s="115">
        <v>288029958</v>
      </c>
      <c r="E146" s="115" t="s">
        <v>238</v>
      </c>
      <c r="F146" s="115" t="s">
        <v>87</v>
      </c>
      <c r="G146" s="115">
        <v>2</v>
      </c>
      <c r="H146" s="115" t="s">
        <v>22</v>
      </c>
      <c r="I146" s="115"/>
      <c r="J146" s="115" t="s">
        <v>296</v>
      </c>
      <c r="K146" s="115" t="s">
        <v>189</v>
      </c>
      <c r="L146" s="115"/>
      <c r="M146" s="115"/>
      <c r="N146" s="115">
        <v>6</v>
      </c>
      <c r="O146" s="115">
        <v>0</v>
      </c>
      <c r="P146" s="115">
        <v>0</v>
      </c>
      <c r="Q146" s="115">
        <v>1</v>
      </c>
      <c r="R146" s="115">
        <v>0</v>
      </c>
      <c r="S146" s="115" t="s">
        <v>155</v>
      </c>
      <c r="T146" s="115">
        <v>2</v>
      </c>
      <c r="U146" s="115"/>
      <c r="V146" s="115"/>
      <c r="W146" s="115"/>
      <c r="X146" s="115"/>
      <c r="Y146" s="115"/>
      <c r="Z146" s="115"/>
      <c r="AA146" s="115"/>
      <c r="AB146" s="115"/>
      <c r="AC146" s="115"/>
      <c r="AD146" s="115">
        <v>61</v>
      </c>
      <c r="AE146" s="115">
        <v>10.5</v>
      </c>
      <c r="AF146" s="115">
        <v>300</v>
      </c>
      <c r="AG146" s="115">
        <v>7</v>
      </c>
      <c r="AH146" s="115">
        <v>3</v>
      </c>
      <c r="AI146" s="115">
        <v>710</v>
      </c>
      <c r="AJ146" s="115" t="s">
        <v>180</v>
      </c>
      <c r="AK146" s="115">
        <v>9</v>
      </c>
      <c r="AL146" s="115"/>
      <c r="AM146" s="115">
        <v>2</v>
      </c>
      <c r="AN146" s="116" t="s">
        <v>297</v>
      </c>
      <c r="AO146" s="117">
        <v>0</v>
      </c>
      <c r="AP146" s="115">
        <v>3</v>
      </c>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spans="1:72">
      <c r="A147" s="115">
        <v>3</v>
      </c>
      <c r="B147" s="115" t="s">
        <v>216</v>
      </c>
      <c r="C147" s="115" t="s">
        <v>179</v>
      </c>
      <c r="D147" s="115">
        <v>288029959</v>
      </c>
      <c r="E147" s="115" t="s">
        <v>238</v>
      </c>
      <c r="F147" s="115" t="s">
        <v>87</v>
      </c>
      <c r="G147" s="115">
        <v>2</v>
      </c>
      <c r="H147" s="115" t="s">
        <v>22</v>
      </c>
      <c r="I147" s="115" t="s">
        <v>155</v>
      </c>
      <c r="J147" s="115" t="s">
        <v>232</v>
      </c>
      <c r="K147" s="115" t="s">
        <v>189</v>
      </c>
      <c r="L147" s="115"/>
      <c r="M147" s="115"/>
      <c r="N147" s="115">
        <v>3</v>
      </c>
      <c r="O147" s="115"/>
      <c r="P147" s="115"/>
      <c r="Q147" s="115"/>
      <c r="R147" s="115"/>
      <c r="S147" s="115"/>
      <c r="T147" s="115">
        <v>0</v>
      </c>
      <c r="U147" s="115"/>
      <c r="V147" s="115"/>
      <c r="W147" s="115"/>
      <c r="X147" s="115" t="s">
        <v>183</v>
      </c>
      <c r="Y147" s="115" t="s">
        <v>183</v>
      </c>
      <c r="Z147" s="115"/>
      <c r="AA147" s="115" t="s">
        <v>183</v>
      </c>
      <c r="AB147" s="115"/>
      <c r="AC147" s="115"/>
      <c r="AD147" s="115">
        <v>62</v>
      </c>
      <c r="AE147" s="115">
        <v>10.3</v>
      </c>
      <c r="AF147" s="115">
        <v>300</v>
      </c>
      <c r="AG147" s="115">
        <v>7</v>
      </c>
      <c r="AH147" s="115">
        <v>3</v>
      </c>
      <c r="AI147" s="115">
        <v>710</v>
      </c>
      <c r="AJ147" s="115" t="s">
        <v>180</v>
      </c>
      <c r="AK147" s="115">
        <v>9</v>
      </c>
      <c r="AL147" s="115"/>
      <c r="AM147" s="115"/>
      <c r="AN147" s="116"/>
      <c r="AO147" s="117">
        <v>0</v>
      </c>
      <c r="AP147" s="115">
        <v>4</v>
      </c>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spans="1:72">
      <c r="A148" s="115">
        <v>5</v>
      </c>
      <c r="B148" s="115" t="s">
        <v>174</v>
      </c>
      <c r="C148" s="115" t="s">
        <v>179</v>
      </c>
      <c r="D148" s="115">
        <v>288029960</v>
      </c>
      <c r="E148" s="115" t="s">
        <v>204</v>
      </c>
      <c r="F148" s="115" t="s">
        <v>88</v>
      </c>
      <c r="G148" s="115">
        <v>1</v>
      </c>
      <c r="H148" s="115" t="s">
        <v>186</v>
      </c>
      <c r="I148" s="115"/>
      <c r="J148" s="115" t="s">
        <v>205</v>
      </c>
      <c r="K148" s="115" t="s">
        <v>189</v>
      </c>
      <c r="L148" s="115"/>
      <c r="M148" s="115"/>
      <c r="N148" s="115"/>
      <c r="O148" s="115">
        <v>0</v>
      </c>
      <c r="P148" s="115">
        <v>0</v>
      </c>
      <c r="Q148" s="115">
        <v>1</v>
      </c>
      <c r="R148" s="115">
        <v>1</v>
      </c>
      <c r="S148" s="115" t="s">
        <v>155</v>
      </c>
      <c r="T148" s="115">
        <v>2</v>
      </c>
      <c r="U148" s="115"/>
      <c r="V148" s="115"/>
      <c r="W148" s="115"/>
      <c r="X148" s="115"/>
      <c r="Y148" s="115"/>
      <c r="Z148" s="115"/>
      <c r="AA148" s="115"/>
      <c r="AB148" s="115"/>
      <c r="AC148" s="115"/>
      <c r="AD148" s="115">
        <v>56</v>
      </c>
      <c r="AE148" s="115">
        <v>9.6999999999999993</v>
      </c>
      <c r="AF148" s="115">
        <v>300</v>
      </c>
      <c r="AG148" s="115">
        <v>7</v>
      </c>
      <c r="AH148" s="115">
        <v>3</v>
      </c>
      <c r="AI148" s="115">
        <v>740</v>
      </c>
      <c r="AJ148" s="115" t="s">
        <v>180</v>
      </c>
      <c r="AK148" s="115">
        <v>9</v>
      </c>
      <c r="AL148" s="115"/>
      <c r="AM148" s="115">
        <v>2</v>
      </c>
      <c r="AN148" s="116" t="s">
        <v>284</v>
      </c>
      <c r="AO148" s="117">
        <v>0</v>
      </c>
      <c r="AP148" s="115">
        <v>1</v>
      </c>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spans="1:72">
      <c r="A149" s="115">
        <v>7</v>
      </c>
      <c r="B149" s="115" t="s">
        <v>288</v>
      </c>
      <c r="C149" s="115" t="s">
        <v>179</v>
      </c>
      <c r="D149" s="115">
        <v>281191237</v>
      </c>
      <c r="E149" s="115" t="s">
        <v>199</v>
      </c>
      <c r="F149" s="115" t="s">
        <v>111</v>
      </c>
      <c r="G149" s="115">
        <v>6</v>
      </c>
      <c r="H149" s="115" t="s">
        <v>22</v>
      </c>
      <c r="I149" s="115"/>
      <c r="J149" s="115" t="s">
        <v>188</v>
      </c>
      <c r="K149" s="115" t="s">
        <v>177</v>
      </c>
      <c r="L149" s="115" t="s">
        <v>178</v>
      </c>
      <c r="M149" s="115"/>
      <c r="N149" s="115"/>
      <c r="O149" s="115">
        <v>0</v>
      </c>
      <c r="P149" s="115">
        <v>3</v>
      </c>
      <c r="Q149" s="115">
        <v>1</v>
      </c>
      <c r="R149" s="115">
        <v>0</v>
      </c>
      <c r="S149" s="115" t="s">
        <v>270</v>
      </c>
      <c r="T149" s="115">
        <v>1</v>
      </c>
      <c r="U149" s="115"/>
      <c r="V149" s="115"/>
      <c r="W149" s="115"/>
      <c r="X149" s="115"/>
      <c r="Y149" s="115"/>
      <c r="Z149" s="115"/>
      <c r="AA149" s="115"/>
      <c r="AB149" s="115"/>
      <c r="AC149" s="115"/>
      <c r="AD149" s="115">
        <v>72</v>
      </c>
      <c r="AE149" s="115">
        <v>17</v>
      </c>
      <c r="AF149" s="115">
        <v>300</v>
      </c>
      <c r="AG149" s="115">
        <v>7</v>
      </c>
      <c r="AH149" s="115">
        <v>3</v>
      </c>
      <c r="AI149" s="115">
        <v>740</v>
      </c>
      <c r="AJ149" s="115" t="s">
        <v>180</v>
      </c>
      <c r="AK149" s="115">
        <v>7</v>
      </c>
      <c r="AL149" s="115"/>
      <c r="AM149" s="115">
        <v>2</v>
      </c>
      <c r="AN149" s="116" t="s">
        <v>290</v>
      </c>
      <c r="AO149" s="117">
        <v>1</v>
      </c>
      <c r="AP149" s="115">
        <v>2</v>
      </c>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spans="1:72">
      <c r="A150" s="115">
        <v>6</v>
      </c>
      <c r="B150" s="115" t="s">
        <v>227</v>
      </c>
      <c r="C150" s="115" t="s">
        <v>157</v>
      </c>
      <c r="D150" s="115">
        <v>178168889</v>
      </c>
      <c r="E150" s="115" t="s">
        <v>181</v>
      </c>
      <c r="F150" s="115" t="s">
        <v>115</v>
      </c>
      <c r="G150" s="115">
        <v>1</v>
      </c>
      <c r="H150" s="115" t="s">
        <v>155</v>
      </c>
      <c r="I150" s="115" t="s">
        <v>1</v>
      </c>
      <c r="J150" s="115" t="s">
        <v>176</v>
      </c>
      <c r="K150" s="115" t="s">
        <v>186</v>
      </c>
      <c r="L150" s="115" t="s">
        <v>1</v>
      </c>
      <c r="M150" s="115" t="s">
        <v>22</v>
      </c>
      <c r="N150" s="115">
        <v>6</v>
      </c>
      <c r="O150" s="115">
        <v>3</v>
      </c>
      <c r="P150" s="115">
        <v>0</v>
      </c>
      <c r="Q150" s="115">
        <v>1</v>
      </c>
      <c r="R150" s="115">
        <v>1</v>
      </c>
      <c r="S150" s="115" t="s">
        <v>270</v>
      </c>
      <c r="T150" s="115">
        <v>3</v>
      </c>
      <c r="U150" s="115"/>
      <c r="V150" s="115"/>
      <c r="W150" s="115"/>
      <c r="X150" s="115"/>
      <c r="Y150" s="115"/>
      <c r="Z150" s="115"/>
      <c r="AA150" s="115"/>
      <c r="AB150" s="115"/>
      <c r="AC150" s="115"/>
      <c r="AD150" s="115">
        <v>84</v>
      </c>
      <c r="AE150" s="115">
        <v>37.6</v>
      </c>
      <c r="AF150" s="115">
        <v>300</v>
      </c>
      <c r="AG150" s="115">
        <v>7</v>
      </c>
      <c r="AH150" s="115">
        <v>3</v>
      </c>
      <c r="AI150" s="115">
        <v>740</v>
      </c>
      <c r="AJ150" s="115" t="s">
        <v>180</v>
      </c>
      <c r="AK150" s="115">
        <v>7</v>
      </c>
      <c r="AL150" s="115"/>
      <c r="AM150" s="115">
        <v>3</v>
      </c>
      <c r="AN150" s="116" t="s">
        <v>298</v>
      </c>
      <c r="AO150" s="117" t="s">
        <v>157</v>
      </c>
      <c r="AP150" s="115">
        <v>3</v>
      </c>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spans="1:72">
      <c r="A151" s="115">
        <v>4</v>
      </c>
      <c r="B151" s="115" t="s">
        <v>216</v>
      </c>
      <c r="C151" s="115" t="s">
        <v>179</v>
      </c>
      <c r="D151" s="115">
        <v>290077840</v>
      </c>
      <c r="E151" s="115" t="s">
        <v>225</v>
      </c>
      <c r="F151" s="115" t="s">
        <v>122</v>
      </c>
      <c r="G151" s="115">
        <v>1</v>
      </c>
      <c r="H151" s="115" t="s">
        <v>178</v>
      </c>
      <c r="I151" s="115" t="s">
        <v>22</v>
      </c>
      <c r="J151" s="115" t="s">
        <v>176</v>
      </c>
      <c r="K151" s="115" t="s">
        <v>177</v>
      </c>
      <c r="L151" s="115" t="s">
        <v>22</v>
      </c>
      <c r="M151" s="115" t="s">
        <v>178</v>
      </c>
      <c r="N151" s="115"/>
      <c r="O151" s="115">
        <v>0</v>
      </c>
      <c r="P151" s="115">
        <v>3</v>
      </c>
      <c r="Q151" s="115">
        <v>1</v>
      </c>
      <c r="R151" s="115">
        <v>0</v>
      </c>
      <c r="S151" s="115" t="s">
        <v>179</v>
      </c>
      <c r="T151" s="115">
        <v>3</v>
      </c>
      <c r="U151" s="115"/>
      <c r="V151" s="115"/>
      <c r="W151" s="115"/>
      <c r="X151" s="115"/>
      <c r="Y151" s="115"/>
      <c r="Z151" s="115"/>
      <c r="AA151" s="115"/>
      <c r="AB151" s="115"/>
      <c r="AC151" s="115"/>
      <c r="AD151" s="115">
        <v>52</v>
      </c>
      <c r="AE151" s="115">
        <v>9.1</v>
      </c>
      <c r="AF151" s="115">
        <v>300</v>
      </c>
      <c r="AG151" s="115">
        <v>7</v>
      </c>
      <c r="AH151" s="115">
        <v>3</v>
      </c>
      <c r="AI151" s="115">
        <v>740</v>
      </c>
      <c r="AJ151" s="115" t="s">
        <v>180</v>
      </c>
      <c r="AK151" s="115">
        <v>21</v>
      </c>
      <c r="AL151" s="115"/>
      <c r="AM151" s="115">
        <v>3</v>
      </c>
      <c r="AN151" s="116" t="s">
        <v>303</v>
      </c>
      <c r="AO151" s="117" t="s">
        <v>215</v>
      </c>
      <c r="AP151" s="115">
        <v>4</v>
      </c>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spans="1:72">
      <c r="A152" s="115">
        <v>8</v>
      </c>
      <c r="B152" s="115" t="s">
        <v>174</v>
      </c>
      <c r="C152" s="115" t="s">
        <v>157</v>
      </c>
      <c r="D152" s="119">
        <v>247105140</v>
      </c>
      <c r="E152" s="115" t="s">
        <v>194</v>
      </c>
      <c r="F152" s="115" t="s">
        <v>98</v>
      </c>
      <c r="G152" s="115">
        <v>6</v>
      </c>
      <c r="H152" s="115" t="s">
        <v>22</v>
      </c>
      <c r="I152" s="115"/>
      <c r="J152" s="115" t="s">
        <v>188</v>
      </c>
      <c r="K152" s="115" t="s">
        <v>186</v>
      </c>
      <c r="L152" s="115" t="s">
        <v>1</v>
      </c>
      <c r="M152" s="115"/>
      <c r="N152" s="115"/>
      <c r="O152" s="115">
        <v>3</v>
      </c>
      <c r="P152" s="115">
        <v>0</v>
      </c>
      <c r="Q152" s="115">
        <v>2</v>
      </c>
      <c r="R152" s="115">
        <v>0</v>
      </c>
      <c r="S152" s="115" t="s">
        <v>179</v>
      </c>
      <c r="T152" s="115">
        <v>1</v>
      </c>
      <c r="U152" s="115"/>
      <c r="V152" s="115"/>
      <c r="W152" s="115" t="s">
        <v>178</v>
      </c>
      <c r="X152" s="115"/>
      <c r="Y152" s="115"/>
      <c r="Z152" s="115"/>
      <c r="AA152" s="115" t="s">
        <v>178</v>
      </c>
      <c r="AB152" s="115"/>
      <c r="AC152" s="115"/>
      <c r="AD152" s="115">
        <v>92</v>
      </c>
      <c r="AE152" s="115">
        <v>30.4</v>
      </c>
      <c r="AF152" s="115">
        <v>300</v>
      </c>
      <c r="AG152" s="115">
        <v>7</v>
      </c>
      <c r="AH152" s="115">
        <v>3</v>
      </c>
      <c r="AI152" s="115">
        <v>1010</v>
      </c>
      <c r="AJ152" s="115" t="s">
        <v>180</v>
      </c>
      <c r="AK152" s="115">
        <v>7</v>
      </c>
      <c r="AL152" s="115"/>
      <c r="AM152" s="115">
        <v>4</v>
      </c>
      <c r="AN152" s="116" t="s">
        <v>286</v>
      </c>
      <c r="AO152" s="117" t="s">
        <v>157</v>
      </c>
      <c r="AP152" s="115">
        <v>1</v>
      </c>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spans="1:72">
      <c r="A153" s="115">
        <v>10</v>
      </c>
      <c r="B153" s="115" t="s">
        <v>288</v>
      </c>
      <c r="C153" s="115" t="s">
        <v>157</v>
      </c>
      <c r="D153" s="115">
        <v>283105290</v>
      </c>
      <c r="E153" s="115" t="s">
        <v>194</v>
      </c>
      <c r="F153" s="115" t="s">
        <v>98</v>
      </c>
      <c r="G153" s="115">
        <v>5</v>
      </c>
      <c r="H153" s="115" t="s">
        <v>22</v>
      </c>
      <c r="I153" s="115"/>
      <c r="J153" s="115" t="s">
        <v>182</v>
      </c>
      <c r="K153" s="115" t="s">
        <v>177</v>
      </c>
      <c r="L153" s="115" t="s">
        <v>178</v>
      </c>
      <c r="M153" s="115"/>
      <c r="N153" s="115"/>
      <c r="O153" s="115">
        <v>0</v>
      </c>
      <c r="P153" s="115">
        <v>2</v>
      </c>
      <c r="Q153" s="115">
        <v>1</v>
      </c>
      <c r="R153" s="115">
        <v>0</v>
      </c>
      <c r="S153" s="115" t="s">
        <v>179</v>
      </c>
      <c r="T153" s="115">
        <v>2</v>
      </c>
      <c r="U153" s="115"/>
      <c r="V153" s="115"/>
      <c r="W153" s="115"/>
      <c r="X153" s="115"/>
      <c r="Y153" s="115"/>
      <c r="Z153" s="115"/>
      <c r="AA153" s="115"/>
      <c r="AB153" s="115"/>
      <c r="AC153" s="115"/>
      <c r="AD153" s="115">
        <v>91</v>
      </c>
      <c r="AE153" s="115">
        <v>28.8</v>
      </c>
      <c r="AF153" s="115">
        <v>300</v>
      </c>
      <c r="AG153" s="115">
        <v>7</v>
      </c>
      <c r="AH153" s="115">
        <v>3</v>
      </c>
      <c r="AI153" s="115">
        <v>1010</v>
      </c>
      <c r="AJ153" s="115" t="s">
        <v>180</v>
      </c>
      <c r="AK153" s="115">
        <v>14</v>
      </c>
      <c r="AL153" s="115"/>
      <c r="AM153" s="115">
        <v>4</v>
      </c>
      <c r="AN153" s="116" t="s">
        <v>292</v>
      </c>
      <c r="AO153" s="118" t="s">
        <v>157</v>
      </c>
      <c r="AP153" s="115">
        <v>2</v>
      </c>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spans="1:72">
      <c r="A154" s="115">
        <v>9</v>
      </c>
      <c r="B154" s="115" t="s">
        <v>227</v>
      </c>
      <c r="C154" s="115" t="s">
        <v>179</v>
      </c>
      <c r="D154" s="115">
        <v>281191238</v>
      </c>
      <c r="E154" s="115" t="s">
        <v>206</v>
      </c>
      <c r="F154" s="115" t="s">
        <v>105</v>
      </c>
      <c r="G154" s="115">
        <v>2</v>
      </c>
      <c r="H154" s="115" t="s">
        <v>220</v>
      </c>
      <c r="I154" s="115" t="s">
        <v>155</v>
      </c>
      <c r="J154" s="115" t="s">
        <v>232</v>
      </c>
      <c r="K154" s="115" t="s">
        <v>189</v>
      </c>
      <c r="L154" s="115"/>
      <c r="M154" s="115"/>
      <c r="N154" s="115">
        <v>4</v>
      </c>
      <c r="O154" s="115">
        <v>0</v>
      </c>
      <c r="P154" s="115">
        <v>0</v>
      </c>
      <c r="Q154" s="115">
        <v>1</v>
      </c>
      <c r="R154" s="115">
        <v>1</v>
      </c>
      <c r="S154" s="115" t="s">
        <v>179</v>
      </c>
      <c r="T154" s="115">
        <v>1</v>
      </c>
      <c r="U154" s="115">
        <v>3</v>
      </c>
      <c r="V154" s="115"/>
      <c r="W154" s="115"/>
      <c r="X154" s="115"/>
      <c r="Y154" s="115"/>
      <c r="Z154" s="115"/>
      <c r="AA154" s="115"/>
      <c r="AB154" s="115"/>
      <c r="AC154" s="115"/>
      <c r="AD154" s="115">
        <v>77</v>
      </c>
      <c r="AE154" s="115">
        <v>24.9</v>
      </c>
      <c r="AF154" s="115">
        <v>300</v>
      </c>
      <c r="AG154" s="115">
        <v>7</v>
      </c>
      <c r="AH154" s="115">
        <v>3</v>
      </c>
      <c r="AI154" s="115">
        <v>1010</v>
      </c>
      <c r="AJ154" s="115" t="s">
        <v>180</v>
      </c>
      <c r="AK154" s="115">
        <v>15</v>
      </c>
      <c r="AL154" s="115"/>
      <c r="AM154" s="115"/>
      <c r="AN154" s="116"/>
      <c r="AO154" s="117">
        <v>1</v>
      </c>
      <c r="AP154" s="115">
        <v>3</v>
      </c>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spans="1:72">
      <c r="A155" s="115">
        <v>11</v>
      </c>
      <c r="B155" s="115" t="s">
        <v>288</v>
      </c>
      <c r="C155" s="115" t="s">
        <v>179</v>
      </c>
      <c r="D155" s="115">
        <v>230196612</v>
      </c>
      <c r="E155" s="115" t="s">
        <v>181</v>
      </c>
      <c r="F155" s="115" t="s">
        <v>115</v>
      </c>
      <c r="G155" s="115">
        <v>6</v>
      </c>
      <c r="H155" s="115" t="s">
        <v>22</v>
      </c>
      <c r="I155" s="115"/>
      <c r="J155" s="115" t="s">
        <v>188</v>
      </c>
      <c r="K155" s="115" t="s">
        <v>186</v>
      </c>
      <c r="L155" s="115" t="s">
        <v>1</v>
      </c>
      <c r="M155" s="115"/>
      <c r="N155" s="115"/>
      <c r="O155" s="115">
        <v>3</v>
      </c>
      <c r="P155" s="115">
        <v>0</v>
      </c>
      <c r="Q155" s="115">
        <v>1</v>
      </c>
      <c r="R155" s="115">
        <v>0</v>
      </c>
      <c r="S155" s="115" t="s">
        <v>179</v>
      </c>
      <c r="T155" s="115">
        <v>1</v>
      </c>
      <c r="U155" s="115"/>
      <c r="V155" s="115"/>
      <c r="W155" s="115"/>
      <c r="X155" s="115"/>
      <c r="Y155" s="115"/>
      <c r="Z155" s="115"/>
      <c r="AA155" s="115"/>
      <c r="AB155" s="115"/>
      <c r="AC155" s="115"/>
      <c r="AD155" s="115">
        <v>82</v>
      </c>
      <c r="AE155" s="115">
        <v>37.5</v>
      </c>
      <c r="AF155" s="115">
        <v>300</v>
      </c>
      <c r="AG155" s="115">
        <v>7</v>
      </c>
      <c r="AH155" s="115">
        <v>3</v>
      </c>
      <c r="AI155" s="115">
        <v>1040</v>
      </c>
      <c r="AJ155" s="115" t="s">
        <v>180</v>
      </c>
      <c r="AK155" s="115">
        <v>6</v>
      </c>
      <c r="AL155" s="115"/>
      <c r="AM155" s="115">
        <v>5</v>
      </c>
      <c r="AN155" s="116" t="s">
        <v>293</v>
      </c>
      <c r="AO155" s="117" t="s">
        <v>184</v>
      </c>
      <c r="AP155" s="115">
        <v>2</v>
      </c>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spans="1:72">
      <c r="A156" s="115">
        <v>10</v>
      </c>
      <c r="B156" s="115" t="s">
        <v>227</v>
      </c>
      <c r="C156" s="115" t="s">
        <v>157</v>
      </c>
      <c r="D156" s="115">
        <v>287076660</v>
      </c>
      <c r="E156" s="115" t="s">
        <v>228</v>
      </c>
      <c r="F156" s="115" t="s">
        <v>120</v>
      </c>
      <c r="G156" s="115">
        <v>1</v>
      </c>
      <c r="H156" s="115" t="s">
        <v>155</v>
      </c>
      <c r="I156" s="115" t="s">
        <v>22</v>
      </c>
      <c r="J156" s="115" t="s">
        <v>176</v>
      </c>
      <c r="K156" s="115" t="s">
        <v>177</v>
      </c>
      <c r="L156" s="115" t="s">
        <v>178</v>
      </c>
      <c r="M156" s="115" t="s">
        <v>22</v>
      </c>
      <c r="N156" s="115">
        <v>6</v>
      </c>
      <c r="O156" s="115">
        <v>0</v>
      </c>
      <c r="P156" s="115">
        <v>2</v>
      </c>
      <c r="Q156" s="115">
        <v>0</v>
      </c>
      <c r="R156" s="115">
        <v>0</v>
      </c>
      <c r="S156" s="115" t="s">
        <v>179</v>
      </c>
      <c r="T156" s="115">
        <v>3</v>
      </c>
      <c r="U156" s="115"/>
      <c r="V156" s="115"/>
      <c r="W156" s="115"/>
      <c r="X156" s="115"/>
      <c r="Y156" s="115"/>
      <c r="Z156" s="115"/>
      <c r="AA156" s="115"/>
      <c r="AB156" s="115"/>
      <c r="AC156" s="115"/>
      <c r="AD156" s="115">
        <v>54</v>
      </c>
      <c r="AE156" s="115">
        <v>9.1</v>
      </c>
      <c r="AF156" s="115">
        <v>300</v>
      </c>
      <c r="AG156" s="115">
        <v>7</v>
      </c>
      <c r="AH156" s="115">
        <v>3</v>
      </c>
      <c r="AI156" s="115">
        <v>1040</v>
      </c>
      <c r="AJ156" s="115" t="s">
        <v>180</v>
      </c>
      <c r="AK156" s="115">
        <v>6</v>
      </c>
      <c r="AL156" s="115"/>
      <c r="AM156" s="115"/>
      <c r="AN156" s="116"/>
      <c r="AO156" s="118" t="s">
        <v>157</v>
      </c>
      <c r="AP156" s="115">
        <v>3</v>
      </c>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spans="1:72">
      <c r="A157" s="115">
        <v>9</v>
      </c>
      <c r="B157" s="115" t="s">
        <v>174</v>
      </c>
      <c r="C157" s="115" t="s">
        <v>157</v>
      </c>
      <c r="D157" s="115">
        <v>230196611</v>
      </c>
      <c r="E157" s="115" t="s">
        <v>181</v>
      </c>
      <c r="F157" s="115" t="s">
        <v>115</v>
      </c>
      <c r="G157" s="115">
        <v>1</v>
      </c>
      <c r="H157" s="115" t="s">
        <v>22</v>
      </c>
      <c r="I157" s="115"/>
      <c r="J157" s="115" t="s">
        <v>176</v>
      </c>
      <c r="K157" s="115" t="s">
        <v>186</v>
      </c>
      <c r="L157" s="115" t="s">
        <v>22</v>
      </c>
      <c r="M157" s="115"/>
      <c r="N157" s="115"/>
      <c r="O157" s="115"/>
      <c r="P157" s="115"/>
      <c r="Q157" s="115"/>
      <c r="R157" s="115"/>
      <c r="S157" s="115"/>
      <c r="T157" s="115"/>
      <c r="U157" s="115"/>
      <c r="V157" s="115"/>
      <c r="W157" s="115"/>
      <c r="X157" s="115"/>
      <c r="Y157" s="115"/>
      <c r="Z157" s="115"/>
      <c r="AA157" s="115"/>
      <c r="AB157" s="115"/>
      <c r="AC157" s="115"/>
      <c r="AD157" s="115"/>
      <c r="AE157" s="115"/>
      <c r="AF157" s="115">
        <v>300</v>
      </c>
      <c r="AG157" s="115">
        <v>7</v>
      </c>
      <c r="AH157" s="115">
        <v>3</v>
      </c>
      <c r="AI157" s="115">
        <v>1120</v>
      </c>
      <c r="AJ157" s="115" t="s">
        <v>180</v>
      </c>
      <c r="AK157" s="115">
        <v>7</v>
      </c>
      <c r="AL157" s="115" t="s">
        <v>156</v>
      </c>
      <c r="AM157" s="115">
        <v>5</v>
      </c>
      <c r="AN157" s="116" t="s">
        <v>287</v>
      </c>
      <c r="AO157" s="117" t="s">
        <v>157</v>
      </c>
      <c r="AP157" s="115">
        <v>1</v>
      </c>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spans="1:72">
      <c r="A158" s="115">
        <v>10</v>
      </c>
      <c r="B158" s="115" t="s">
        <v>174</v>
      </c>
      <c r="C158" s="115" t="s">
        <v>179</v>
      </c>
      <c r="D158" s="115">
        <v>281191239</v>
      </c>
      <c r="E158" s="115" t="s">
        <v>199</v>
      </c>
      <c r="F158" s="115" t="s">
        <v>111</v>
      </c>
      <c r="G158" s="115">
        <v>2</v>
      </c>
      <c r="H158" s="115" t="s">
        <v>183</v>
      </c>
      <c r="I158" s="115"/>
      <c r="J158" s="115" t="s">
        <v>232</v>
      </c>
      <c r="K158" s="115" t="s">
        <v>189</v>
      </c>
      <c r="L158" s="115"/>
      <c r="M158" s="115"/>
      <c r="N158" s="115"/>
      <c r="O158" s="115">
        <v>0</v>
      </c>
      <c r="P158" s="115">
        <v>0</v>
      </c>
      <c r="Q158" s="115">
        <v>1</v>
      </c>
      <c r="R158" s="115">
        <v>0</v>
      </c>
      <c r="S158" s="115" t="s">
        <v>179</v>
      </c>
      <c r="T158" s="115">
        <v>0</v>
      </c>
      <c r="U158" s="115"/>
      <c r="V158" s="115" t="s">
        <v>183</v>
      </c>
      <c r="W158" s="115" t="s">
        <v>183</v>
      </c>
      <c r="X158" s="115" t="s">
        <v>183</v>
      </c>
      <c r="Y158" s="115" t="s">
        <v>183</v>
      </c>
      <c r="Z158" s="115" t="s">
        <v>183</v>
      </c>
      <c r="AA158" s="115" t="s">
        <v>183</v>
      </c>
      <c r="AB158" s="115"/>
      <c r="AC158" s="115"/>
      <c r="AD158" s="115">
        <v>73</v>
      </c>
      <c r="AE158" s="115">
        <v>16</v>
      </c>
      <c r="AF158" s="115">
        <v>300</v>
      </c>
      <c r="AG158" s="115">
        <v>7</v>
      </c>
      <c r="AH158" s="115">
        <v>3</v>
      </c>
      <c r="AI158" s="115">
        <v>1120</v>
      </c>
      <c r="AJ158" s="115" t="s">
        <v>180</v>
      </c>
      <c r="AK158" s="115">
        <v>3</v>
      </c>
      <c r="AL158" s="115"/>
      <c r="AM158" s="115"/>
      <c r="AN158" s="116"/>
      <c r="AO158" s="117">
        <v>1</v>
      </c>
      <c r="AP158" s="115">
        <v>1</v>
      </c>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spans="1:72">
      <c r="A159" s="115">
        <v>12</v>
      </c>
      <c r="B159" s="115" t="s">
        <v>288</v>
      </c>
      <c r="C159" s="115" t="s">
        <v>179</v>
      </c>
      <c r="D159" s="115">
        <v>281191240</v>
      </c>
      <c r="E159" s="115" t="s">
        <v>199</v>
      </c>
      <c r="F159" s="115" t="s">
        <v>111</v>
      </c>
      <c r="G159" s="115">
        <v>2</v>
      </c>
      <c r="H159" s="115" t="s">
        <v>183</v>
      </c>
      <c r="I159" s="115"/>
      <c r="J159" s="115" t="s">
        <v>232</v>
      </c>
      <c r="K159" s="115" t="s">
        <v>189</v>
      </c>
      <c r="L159" s="115"/>
      <c r="M159" s="115"/>
      <c r="N159" s="115"/>
      <c r="O159" s="115">
        <v>0</v>
      </c>
      <c r="P159" s="115">
        <v>0</v>
      </c>
      <c r="Q159" s="115">
        <v>3</v>
      </c>
      <c r="R159" s="115">
        <v>0</v>
      </c>
      <c r="S159" s="115" t="s">
        <v>179</v>
      </c>
      <c r="T159" s="115">
        <v>1</v>
      </c>
      <c r="U159" s="115">
        <v>3</v>
      </c>
      <c r="V159" s="115"/>
      <c r="W159" s="115"/>
      <c r="X159" s="115"/>
      <c r="Y159" s="115"/>
      <c r="Z159" s="115"/>
      <c r="AA159" s="115"/>
      <c r="AB159" s="115"/>
      <c r="AC159" s="115"/>
      <c r="AD159" s="115">
        <v>74</v>
      </c>
      <c r="AE159" s="115">
        <v>18.399999999999999</v>
      </c>
      <c r="AF159" s="115">
        <v>300</v>
      </c>
      <c r="AG159" s="115">
        <v>7</v>
      </c>
      <c r="AH159" s="115">
        <v>3</v>
      </c>
      <c r="AI159" s="115">
        <v>1120</v>
      </c>
      <c r="AJ159" s="115" t="s">
        <v>180</v>
      </c>
      <c r="AK159" s="115">
        <v>3</v>
      </c>
      <c r="AL159" s="115"/>
      <c r="AM159" s="115">
        <v>6</v>
      </c>
      <c r="AN159" s="116" t="s">
        <v>294</v>
      </c>
      <c r="AO159" s="117">
        <v>1</v>
      </c>
      <c r="AP159" s="115">
        <v>2</v>
      </c>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spans="1:72">
      <c r="A160" s="115">
        <v>13</v>
      </c>
      <c r="B160" s="115" t="s">
        <v>288</v>
      </c>
      <c r="C160" s="115" t="s">
        <v>157</v>
      </c>
      <c r="D160" s="115">
        <v>283105227</v>
      </c>
      <c r="E160" s="115" t="s">
        <v>194</v>
      </c>
      <c r="F160" s="115" t="s">
        <v>98</v>
      </c>
      <c r="G160" s="115">
        <v>1</v>
      </c>
      <c r="H160" s="115" t="s">
        <v>22</v>
      </c>
      <c r="I160" s="115"/>
      <c r="J160" s="115" t="s">
        <v>176</v>
      </c>
      <c r="K160" s="115" t="s">
        <v>186</v>
      </c>
      <c r="L160" s="115" t="s">
        <v>1</v>
      </c>
      <c r="M160" s="115"/>
      <c r="N160" s="115"/>
      <c r="O160" s="115">
        <v>2</v>
      </c>
      <c r="P160" s="115">
        <v>0</v>
      </c>
      <c r="Q160" s="115">
        <v>1</v>
      </c>
      <c r="R160" s="115">
        <v>0</v>
      </c>
      <c r="S160" s="115" t="s">
        <v>179</v>
      </c>
      <c r="T160" s="115">
        <v>1</v>
      </c>
      <c r="U160" s="115"/>
      <c r="V160" s="115"/>
      <c r="W160" s="115"/>
      <c r="X160" s="115"/>
      <c r="Y160" s="115"/>
      <c r="Z160" s="115"/>
      <c r="AA160" s="115"/>
      <c r="AB160" s="115"/>
      <c r="AC160" s="115"/>
      <c r="AD160" s="115">
        <v>96</v>
      </c>
      <c r="AE160" s="115">
        <v>28.5</v>
      </c>
      <c r="AF160" s="115">
        <v>300</v>
      </c>
      <c r="AG160" s="115">
        <v>7</v>
      </c>
      <c r="AH160" s="115">
        <v>3</v>
      </c>
      <c r="AI160" s="115">
        <v>1120</v>
      </c>
      <c r="AJ160" s="115" t="s">
        <v>180</v>
      </c>
      <c r="AK160" s="115">
        <v>8</v>
      </c>
      <c r="AL160" s="115"/>
      <c r="AM160" s="115"/>
      <c r="AN160" s="116"/>
      <c r="AO160" s="117" t="s">
        <v>157</v>
      </c>
      <c r="AP160" s="115">
        <v>2</v>
      </c>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spans="1:72">
      <c r="A161" s="115">
        <v>11</v>
      </c>
      <c r="B161" s="115" t="s">
        <v>227</v>
      </c>
      <c r="C161" s="115" t="s">
        <v>157</v>
      </c>
      <c r="D161" s="115">
        <v>284111513</v>
      </c>
      <c r="E161" s="115" t="s">
        <v>181</v>
      </c>
      <c r="F161" s="115" t="s">
        <v>115</v>
      </c>
      <c r="G161" s="115">
        <v>1</v>
      </c>
      <c r="H161" s="115" t="s">
        <v>155</v>
      </c>
      <c r="I161" s="115" t="s">
        <v>22</v>
      </c>
      <c r="J161" s="115" t="s">
        <v>176</v>
      </c>
      <c r="K161" s="115" t="s">
        <v>177</v>
      </c>
      <c r="L161" s="115" t="s">
        <v>178</v>
      </c>
      <c r="M161" s="115" t="s">
        <v>22</v>
      </c>
      <c r="N161" s="115">
        <v>6</v>
      </c>
      <c r="O161" s="115">
        <v>0</v>
      </c>
      <c r="P161" s="115">
        <v>4</v>
      </c>
      <c r="Q161" s="115">
        <v>0</v>
      </c>
      <c r="R161" s="115">
        <v>0</v>
      </c>
      <c r="S161" s="115" t="s">
        <v>270</v>
      </c>
      <c r="T161" s="115">
        <v>3</v>
      </c>
      <c r="U161" s="115"/>
      <c r="V161" s="115"/>
      <c r="W161" s="115"/>
      <c r="X161" s="115"/>
      <c r="Y161" s="115"/>
      <c r="Z161" s="115"/>
      <c r="AA161" s="115"/>
      <c r="AB161" s="115"/>
      <c r="AC161" s="115"/>
      <c r="AD161" s="115">
        <v>81</v>
      </c>
      <c r="AE161" s="115">
        <v>31.7</v>
      </c>
      <c r="AF161" s="115">
        <v>300</v>
      </c>
      <c r="AG161" s="115">
        <v>7</v>
      </c>
      <c r="AH161" s="115">
        <v>3</v>
      </c>
      <c r="AI161" s="115">
        <v>1120</v>
      </c>
      <c r="AJ161" s="115" t="s">
        <v>180</v>
      </c>
      <c r="AK161" s="115">
        <v>14</v>
      </c>
      <c r="AL161" s="115"/>
      <c r="AM161" s="115">
        <v>5</v>
      </c>
      <c r="AN161" s="116" t="s">
        <v>300</v>
      </c>
      <c r="AO161" s="117" t="s">
        <v>157</v>
      </c>
      <c r="AP161" s="115">
        <v>3</v>
      </c>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spans="1:72">
      <c r="A162" s="115">
        <v>9</v>
      </c>
      <c r="B162" s="115" t="s">
        <v>207</v>
      </c>
      <c r="C162" s="115" t="s">
        <v>179</v>
      </c>
      <c r="D162" s="115">
        <v>290077841</v>
      </c>
      <c r="E162" s="115" t="s">
        <v>212</v>
      </c>
      <c r="F162" s="115" t="s">
        <v>91</v>
      </c>
      <c r="G162" s="115">
        <v>2</v>
      </c>
      <c r="H162" s="115" t="s">
        <v>183</v>
      </c>
      <c r="I162" s="115"/>
      <c r="J162" s="115" t="s">
        <v>232</v>
      </c>
      <c r="K162" s="115" t="s">
        <v>189</v>
      </c>
      <c r="L162" s="115"/>
      <c r="M162" s="115"/>
      <c r="N162" s="115"/>
      <c r="O162" s="115">
        <v>0</v>
      </c>
      <c r="P162" s="115">
        <v>0</v>
      </c>
      <c r="Q162" s="115">
        <v>0</v>
      </c>
      <c r="R162" s="115">
        <v>0</v>
      </c>
      <c r="S162" s="115" t="s">
        <v>179</v>
      </c>
      <c r="T162" s="115">
        <v>0</v>
      </c>
      <c r="U162" s="115">
        <v>3</v>
      </c>
      <c r="V162" s="115"/>
      <c r="W162" s="115"/>
      <c r="X162" s="115"/>
      <c r="Y162" s="115"/>
      <c r="Z162" s="115"/>
      <c r="AA162" s="115"/>
      <c r="AB162" s="115"/>
      <c r="AC162" s="115"/>
      <c r="AD162" s="115">
        <v>62</v>
      </c>
      <c r="AE162" s="115">
        <v>8.4</v>
      </c>
      <c r="AF162" s="115">
        <v>300</v>
      </c>
      <c r="AG162" s="115">
        <v>7</v>
      </c>
      <c r="AH162" s="115">
        <v>3</v>
      </c>
      <c r="AI162" s="115">
        <v>6</v>
      </c>
      <c r="AJ162" s="115" t="s">
        <v>180</v>
      </c>
      <c r="AK162" s="115">
        <v>2</v>
      </c>
      <c r="AL162" s="115"/>
      <c r="AM162" s="115">
        <v>3</v>
      </c>
      <c r="AN162" s="116" t="s">
        <v>291</v>
      </c>
      <c r="AO162" s="118" t="s">
        <v>215</v>
      </c>
      <c r="AP162" s="115">
        <v>2</v>
      </c>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spans="1:72">
      <c r="A163" s="115">
        <v>1</v>
      </c>
      <c r="B163" s="115" t="s">
        <v>227</v>
      </c>
      <c r="C163" s="115" t="s">
        <v>179</v>
      </c>
      <c r="D163" s="115">
        <v>290077842</v>
      </c>
      <c r="E163" s="115" t="s">
        <v>204</v>
      </c>
      <c r="F163" s="115" t="s">
        <v>88</v>
      </c>
      <c r="G163" s="115">
        <v>1</v>
      </c>
      <c r="H163" s="115" t="s">
        <v>155</v>
      </c>
      <c r="I163" s="115" t="s">
        <v>22</v>
      </c>
      <c r="J163" s="115" t="s">
        <v>176</v>
      </c>
      <c r="K163" s="115" t="s">
        <v>189</v>
      </c>
      <c r="L163" s="115"/>
      <c r="M163" s="115"/>
      <c r="N163" s="115">
        <v>6</v>
      </c>
      <c r="O163" s="115">
        <v>0</v>
      </c>
      <c r="P163" s="115">
        <v>0</v>
      </c>
      <c r="Q163" s="115">
        <v>1</v>
      </c>
      <c r="R163" s="115">
        <v>4</v>
      </c>
      <c r="S163" s="115" t="s">
        <v>155</v>
      </c>
      <c r="T163" s="115">
        <v>2</v>
      </c>
      <c r="U163" s="115"/>
      <c r="V163" s="115"/>
      <c r="W163" s="115"/>
      <c r="X163" s="115"/>
      <c r="Y163" s="115"/>
      <c r="Z163" s="115"/>
      <c r="AA163" s="115"/>
      <c r="AB163" s="115"/>
      <c r="AC163" s="115"/>
      <c r="AD163" s="115">
        <v>59</v>
      </c>
      <c r="AE163" s="115">
        <v>9.9</v>
      </c>
      <c r="AF163" s="115">
        <v>300</v>
      </c>
      <c r="AG163" s="115">
        <v>7</v>
      </c>
      <c r="AH163" s="115">
        <v>10</v>
      </c>
      <c r="AI163" s="115">
        <v>6</v>
      </c>
      <c r="AJ163" s="115" t="s">
        <v>180</v>
      </c>
      <c r="AK163" s="115">
        <v>2</v>
      </c>
      <c r="AL163" s="115"/>
      <c r="AM163" s="115">
        <v>1</v>
      </c>
      <c r="AN163" s="116" t="s">
        <v>315</v>
      </c>
      <c r="AO163" s="117" t="s">
        <v>215</v>
      </c>
      <c r="AP163" s="115">
        <v>3</v>
      </c>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spans="1:72">
      <c r="A164" s="115">
        <v>3</v>
      </c>
      <c r="B164" s="115" t="s">
        <v>174</v>
      </c>
      <c r="C164" s="115" t="s">
        <v>157</v>
      </c>
      <c r="D164" s="115">
        <v>283105242</v>
      </c>
      <c r="E164" s="115" t="s">
        <v>194</v>
      </c>
      <c r="F164" s="115" t="s">
        <v>98</v>
      </c>
      <c r="G164" s="115">
        <v>1</v>
      </c>
      <c r="H164" s="115" t="s">
        <v>22</v>
      </c>
      <c r="I164" s="115"/>
      <c r="J164" s="115" t="s">
        <v>176</v>
      </c>
      <c r="K164" s="115" t="s">
        <v>177</v>
      </c>
      <c r="L164" s="115" t="s">
        <v>178</v>
      </c>
      <c r="M164" s="115"/>
      <c r="N164" s="115"/>
      <c r="O164" s="115">
        <v>0</v>
      </c>
      <c r="P164" s="115">
        <v>2</v>
      </c>
      <c r="Q164" s="115">
        <v>1</v>
      </c>
      <c r="R164" s="115">
        <v>0</v>
      </c>
      <c r="S164" s="115" t="s">
        <v>179</v>
      </c>
      <c r="T164" s="115">
        <v>1</v>
      </c>
      <c r="U164" s="115"/>
      <c r="V164" s="115" t="s">
        <v>178</v>
      </c>
      <c r="W164" s="115"/>
      <c r="X164" s="115" t="s">
        <v>189</v>
      </c>
      <c r="Y164" s="115"/>
      <c r="Z164" s="115"/>
      <c r="AA164" s="115" t="s">
        <v>178</v>
      </c>
      <c r="AB164" s="115"/>
      <c r="AC164" s="115"/>
      <c r="AD164" s="115">
        <v>93</v>
      </c>
      <c r="AE164" s="115">
        <v>31.1</v>
      </c>
      <c r="AF164" s="115">
        <v>300</v>
      </c>
      <c r="AG164" s="115">
        <v>7</v>
      </c>
      <c r="AH164" s="115">
        <v>10</v>
      </c>
      <c r="AI164" s="115">
        <v>7</v>
      </c>
      <c r="AJ164" s="115" t="s">
        <v>180</v>
      </c>
      <c r="AK164" s="115">
        <v>6</v>
      </c>
      <c r="AL164" s="115"/>
      <c r="AM164" s="115">
        <v>2</v>
      </c>
      <c r="AN164" s="116" t="s">
        <v>306</v>
      </c>
      <c r="AO164" s="117" t="s">
        <v>157</v>
      </c>
      <c r="AP164" s="115">
        <v>1</v>
      </c>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spans="1:72">
      <c r="A165" s="115">
        <v>4</v>
      </c>
      <c r="B165" s="115" t="s">
        <v>305</v>
      </c>
      <c r="C165" s="115" t="s">
        <v>157</v>
      </c>
      <c r="D165" s="115">
        <v>172176232</v>
      </c>
      <c r="E165" s="115" t="s">
        <v>175</v>
      </c>
      <c r="F165" s="115" t="s">
        <v>114</v>
      </c>
      <c r="G165" s="115">
        <v>1</v>
      </c>
      <c r="H165" s="115" t="s">
        <v>186</v>
      </c>
      <c r="I165" s="115" t="s">
        <v>22</v>
      </c>
      <c r="J165" s="115" t="s">
        <v>205</v>
      </c>
      <c r="K165" s="115" t="s">
        <v>186</v>
      </c>
      <c r="L165" s="115" t="s">
        <v>1</v>
      </c>
      <c r="M165" s="115"/>
      <c r="N165" s="115"/>
      <c r="O165" s="115">
        <v>2</v>
      </c>
      <c r="P165" s="115">
        <v>0</v>
      </c>
      <c r="Q165" s="115">
        <v>1</v>
      </c>
      <c r="R165" s="115">
        <v>0</v>
      </c>
      <c r="S165" s="115" t="s">
        <v>155</v>
      </c>
      <c r="T165" s="115">
        <v>2</v>
      </c>
      <c r="U165" s="115"/>
      <c r="V165" s="115"/>
      <c r="W165" s="115"/>
      <c r="X165" s="115"/>
      <c r="Y165" s="115"/>
      <c r="Z165" s="115"/>
      <c r="AA165" s="115"/>
      <c r="AB165" s="115"/>
      <c r="AC165" s="115"/>
      <c r="AD165" s="115">
        <v>66</v>
      </c>
      <c r="AE165" s="115">
        <v>25.2</v>
      </c>
      <c r="AF165" s="115">
        <v>300</v>
      </c>
      <c r="AG165" s="115">
        <v>7</v>
      </c>
      <c r="AH165" s="115">
        <v>10</v>
      </c>
      <c r="AI165" s="115">
        <v>7</v>
      </c>
      <c r="AJ165" s="115" t="s">
        <v>180</v>
      </c>
      <c r="AK165" s="115">
        <v>21</v>
      </c>
      <c r="AL165" s="115"/>
      <c r="AM165" s="115">
        <v>3</v>
      </c>
      <c r="AN165" s="116" t="s">
        <v>307</v>
      </c>
      <c r="AO165" s="117" t="s">
        <v>157</v>
      </c>
      <c r="AP165" s="115">
        <v>1</v>
      </c>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spans="1:72">
      <c r="A166" s="115">
        <v>3</v>
      </c>
      <c r="B166" s="115" t="s">
        <v>207</v>
      </c>
      <c r="C166" s="115" t="s">
        <v>179</v>
      </c>
      <c r="D166" s="115">
        <v>172176247</v>
      </c>
      <c r="E166" s="115" t="s">
        <v>194</v>
      </c>
      <c r="F166" s="115" t="s">
        <v>98</v>
      </c>
      <c r="G166" s="115">
        <v>5</v>
      </c>
      <c r="H166" s="115" t="s">
        <v>22</v>
      </c>
      <c r="I166" s="115"/>
      <c r="J166" s="115" t="s">
        <v>182</v>
      </c>
      <c r="K166" s="115" t="s">
        <v>186</v>
      </c>
      <c r="L166" s="115" t="s">
        <v>22</v>
      </c>
      <c r="M166" s="115"/>
      <c r="N166" s="115"/>
      <c r="O166" s="115">
        <v>3</v>
      </c>
      <c r="P166" s="115">
        <v>0</v>
      </c>
      <c r="Q166" s="115">
        <v>0</v>
      </c>
      <c r="R166" s="115">
        <v>0</v>
      </c>
      <c r="S166" s="115" t="s">
        <v>179</v>
      </c>
      <c r="T166" s="115">
        <v>2</v>
      </c>
      <c r="U166" s="115"/>
      <c r="V166" s="115"/>
      <c r="W166" s="115"/>
      <c r="X166" s="115" t="s">
        <v>178</v>
      </c>
      <c r="Y166" s="115"/>
      <c r="Z166" s="115"/>
      <c r="AA166" s="115" t="s">
        <v>183</v>
      </c>
      <c r="AB166" s="115"/>
      <c r="AC166" s="115"/>
      <c r="AD166" s="115">
        <v>95</v>
      </c>
      <c r="AE166" s="115">
        <v>30.1</v>
      </c>
      <c r="AF166" s="115">
        <v>300</v>
      </c>
      <c r="AG166" s="115">
        <v>7</v>
      </c>
      <c r="AH166" s="115">
        <v>10</v>
      </c>
      <c r="AI166" s="115">
        <v>7</v>
      </c>
      <c r="AJ166" s="115" t="s">
        <v>180</v>
      </c>
      <c r="AK166" s="115">
        <v>20</v>
      </c>
      <c r="AL166" s="115"/>
      <c r="AM166" s="115">
        <v>1</v>
      </c>
      <c r="AN166" s="116" t="s">
        <v>310</v>
      </c>
      <c r="AO166" s="117" t="s">
        <v>203</v>
      </c>
      <c r="AP166" s="115">
        <v>2</v>
      </c>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spans="1:72">
      <c r="A167" s="115">
        <v>3</v>
      </c>
      <c r="B167" s="115" t="s">
        <v>227</v>
      </c>
      <c r="C167" s="115" t="s">
        <v>157</v>
      </c>
      <c r="D167" s="115">
        <v>135291871</v>
      </c>
      <c r="E167" s="115" t="s">
        <v>181</v>
      </c>
      <c r="F167" s="115" t="s">
        <v>115</v>
      </c>
      <c r="G167" s="115">
        <v>2</v>
      </c>
      <c r="H167" s="115" t="s">
        <v>220</v>
      </c>
      <c r="I167" s="115" t="s">
        <v>22</v>
      </c>
      <c r="J167" s="115" t="s">
        <v>232</v>
      </c>
      <c r="K167" s="115" t="s">
        <v>189</v>
      </c>
      <c r="L167" s="115"/>
      <c r="M167" s="115"/>
      <c r="N167" s="115">
        <v>4</v>
      </c>
      <c r="O167" s="115">
        <v>0</v>
      </c>
      <c r="P167" s="115">
        <v>0</v>
      </c>
      <c r="Q167" s="115">
        <v>0</v>
      </c>
      <c r="R167" s="115">
        <v>0</v>
      </c>
      <c r="S167" s="115" t="s">
        <v>179</v>
      </c>
      <c r="T167" s="115">
        <v>1</v>
      </c>
      <c r="U167" s="115">
        <v>3</v>
      </c>
      <c r="V167" s="115"/>
      <c r="W167" s="115"/>
      <c r="X167" s="115"/>
      <c r="Y167" s="115"/>
      <c r="Z167" s="115"/>
      <c r="AA167" s="115"/>
      <c r="AB167" s="115"/>
      <c r="AC167" s="115"/>
      <c r="AD167" s="115">
        <v>77</v>
      </c>
      <c r="AE167" s="115">
        <v>34.799999999999997</v>
      </c>
      <c r="AF167" s="115">
        <v>300</v>
      </c>
      <c r="AG167" s="115">
        <v>7</v>
      </c>
      <c r="AH167" s="115">
        <v>10</v>
      </c>
      <c r="AI167" s="115">
        <v>7</v>
      </c>
      <c r="AJ167" s="115" t="s">
        <v>180</v>
      </c>
      <c r="AK167" s="115">
        <v>15</v>
      </c>
      <c r="AL167" s="115"/>
      <c r="AM167" s="115">
        <v>3</v>
      </c>
      <c r="AN167" s="116" t="s">
        <v>317</v>
      </c>
      <c r="AO167" s="117" t="s">
        <v>157</v>
      </c>
      <c r="AP167" s="115">
        <v>3</v>
      </c>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spans="1:72">
      <c r="A168" s="115">
        <v>8</v>
      </c>
      <c r="B168" s="115" t="s">
        <v>174</v>
      </c>
      <c r="C168" s="115" t="s">
        <v>189</v>
      </c>
      <c r="D168" s="115"/>
      <c r="E168" s="115" t="s">
        <v>193</v>
      </c>
      <c r="F168" s="115" t="s">
        <v>32</v>
      </c>
      <c r="G168" s="115">
        <v>2</v>
      </c>
      <c r="H168" s="115" t="s">
        <v>220</v>
      </c>
      <c r="I168" s="115" t="s">
        <v>183</v>
      </c>
      <c r="J168" s="115" t="s">
        <v>264</v>
      </c>
      <c r="K168" s="115" t="s">
        <v>186</v>
      </c>
      <c r="L168" s="115" t="s">
        <v>22</v>
      </c>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v>7</v>
      </c>
      <c r="AH168" s="115">
        <v>10</v>
      </c>
      <c r="AI168" s="115">
        <v>8</v>
      </c>
      <c r="AJ168" s="115" t="s">
        <v>180</v>
      </c>
      <c r="AK168" s="115">
        <v>15</v>
      </c>
      <c r="AL168" s="115"/>
      <c r="AM168" s="115"/>
      <c r="AN168" s="116"/>
      <c r="AO168" s="118" t="s">
        <v>189</v>
      </c>
      <c r="AP168" s="115">
        <v>1</v>
      </c>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spans="1:72">
      <c r="A169" s="115">
        <v>1</v>
      </c>
      <c r="B169" s="115" t="s">
        <v>207</v>
      </c>
      <c r="C169" s="115" t="s">
        <v>157</v>
      </c>
      <c r="D169" s="115">
        <v>283105233</v>
      </c>
      <c r="E169" s="115" t="s">
        <v>175</v>
      </c>
      <c r="F169" s="115" t="s">
        <v>114</v>
      </c>
      <c r="G169" s="115">
        <v>1</v>
      </c>
      <c r="H169" s="115" t="s">
        <v>22</v>
      </c>
      <c r="I169" s="115"/>
      <c r="J169" s="115" t="s">
        <v>176</v>
      </c>
      <c r="K169" s="115" t="s">
        <v>186</v>
      </c>
      <c r="L169" s="115" t="s">
        <v>1</v>
      </c>
      <c r="M169" s="115"/>
      <c r="N169" s="115"/>
      <c r="O169" s="115">
        <v>3</v>
      </c>
      <c r="P169" s="115">
        <v>0</v>
      </c>
      <c r="Q169" s="115">
        <v>0</v>
      </c>
      <c r="R169" s="115">
        <v>0</v>
      </c>
      <c r="S169" s="115" t="s">
        <v>179</v>
      </c>
      <c r="T169" s="115">
        <v>2</v>
      </c>
      <c r="U169" s="115"/>
      <c r="V169" s="115"/>
      <c r="W169" s="115"/>
      <c r="X169" s="115"/>
      <c r="Y169" s="115"/>
      <c r="Z169" s="115"/>
      <c r="AA169" s="115"/>
      <c r="AB169" s="115"/>
      <c r="AC169" s="115"/>
      <c r="AD169" s="115">
        <v>65</v>
      </c>
      <c r="AE169" s="115">
        <v>17.399999999999999</v>
      </c>
      <c r="AF169" s="115">
        <v>300</v>
      </c>
      <c r="AG169" s="115">
        <v>7</v>
      </c>
      <c r="AH169" s="115">
        <v>10</v>
      </c>
      <c r="AI169" s="115">
        <v>620</v>
      </c>
      <c r="AJ169" s="115" t="s">
        <v>180</v>
      </c>
      <c r="AK169" s="115">
        <v>15</v>
      </c>
      <c r="AL169" s="115"/>
      <c r="AM169" s="115"/>
      <c r="AN169" s="116"/>
      <c r="AO169" s="117" t="s">
        <v>157</v>
      </c>
      <c r="AP169" s="115">
        <v>2</v>
      </c>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spans="1:72">
      <c r="A170" s="115">
        <v>1</v>
      </c>
      <c r="B170" s="115" t="s">
        <v>174</v>
      </c>
      <c r="C170" s="115" t="s">
        <v>179</v>
      </c>
      <c r="D170" s="115">
        <v>172176246</v>
      </c>
      <c r="E170" s="115" t="s">
        <v>194</v>
      </c>
      <c r="F170" s="115" t="s">
        <v>98</v>
      </c>
      <c r="G170" s="115">
        <v>5</v>
      </c>
      <c r="H170" s="115" t="s">
        <v>22</v>
      </c>
      <c r="I170" s="115"/>
      <c r="J170" s="115" t="s">
        <v>182</v>
      </c>
      <c r="K170" s="115" t="s">
        <v>186</v>
      </c>
      <c r="L170" s="115" t="s">
        <v>1</v>
      </c>
      <c r="M170" s="115"/>
      <c r="N170" s="115"/>
      <c r="O170" s="115">
        <v>2</v>
      </c>
      <c r="P170" s="115">
        <v>0</v>
      </c>
      <c r="Q170" s="115">
        <v>1</v>
      </c>
      <c r="R170" s="115">
        <v>0</v>
      </c>
      <c r="S170" s="115" t="s">
        <v>179</v>
      </c>
      <c r="T170" s="115">
        <v>2</v>
      </c>
      <c r="U170" s="115"/>
      <c r="V170" s="115"/>
      <c r="W170" s="115" t="s">
        <v>185</v>
      </c>
      <c r="X170" s="115"/>
      <c r="Y170" s="115"/>
      <c r="Z170" s="115"/>
      <c r="AA170" s="115" t="s">
        <v>183</v>
      </c>
      <c r="AB170" s="115"/>
      <c r="AC170" s="115"/>
      <c r="AD170" s="115">
        <v>95</v>
      </c>
      <c r="AE170" s="115">
        <v>30</v>
      </c>
      <c r="AF170" s="115">
        <v>300</v>
      </c>
      <c r="AG170" s="115">
        <v>7</v>
      </c>
      <c r="AH170" s="115">
        <v>10</v>
      </c>
      <c r="AI170" s="115">
        <v>630</v>
      </c>
      <c r="AJ170" s="115" t="s">
        <v>180</v>
      </c>
      <c r="AK170" s="115">
        <v>2</v>
      </c>
      <c r="AL170" s="115"/>
      <c r="AM170" s="115">
        <v>1</v>
      </c>
      <c r="AN170" s="116" t="s">
        <v>304</v>
      </c>
      <c r="AO170" s="117" t="s">
        <v>203</v>
      </c>
      <c r="AP170" s="115">
        <v>1</v>
      </c>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spans="1:72">
      <c r="A171" s="115">
        <v>2</v>
      </c>
      <c r="B171" s="115" t="s">
        <v>305</v>
      </c>
      <c r="C171" s="115" t="s">
        <v>179</v>
      </c>
      <c r="D171" s="115">
        <v>281191242</v>
      </c>
      <c r="E171" s="115" t="s">
        <v>206</v>
      </c>
      <c r="F171" s="115" t="s">
        <v>105</v>
      </c>
      <c r="G171" s="115">
        <v>2</v>
      </c>
      <c r="H171" s="115" t="s">
        <v>183</v>
      </c>
      <c r="I171" s="115"/>
      <c r="J171" s="115" t="s">
        <v>232</v>
      </c>
      <c r="K171" s="115" t="s">
        <v>189</v>
      </c>
      <c r="L171" s="115"/>
      <c r="M171" s="115"/>
      <c r="N171" s="115"/>
      <c r="O171" s="115">
        <v>0</v>
      </c>
      <c r="P171" s="115">
        <v>0</v>
      </c>
      <c r="Q171" s="115">
        <v>2</v>
      </c>
      <c r="R171" s="115">
        <v>0</v>
      </c>
      <c r="S171" s="115" t="s">
        <v>179</v>
      </c>
      <c r="T171" s="115">
        <v>1</v>
      </c>
      <c r="U171" s="115"/>
      <c r="V171" s="115"/>
      <c r="W171" s="115"/>
      <c r="X171" s="115"/>
      <c r="Y171" s="115"/>
      <c r="Z171" s="115"/>
      <c r="AA171" s="115"/>
      <c r="AB171" s="115"/>
      <c r="AC171" s="115"/>
      <c r="AD171" s="115">
        <v>77</v>
      </c>
      <c r="AE171" s="115">
        <v>21.6</v>
      </c>
      <c r="AF171" s="115">
        <v>300</v>
      </c>
      <c r="AG171" s="115">
        <v>7</v>
      </c>
      <c r="AH171" s="115">
        <v>10</v>
      </c>
      <c r="AI171" s="115">
        <v>630</v>
      </c>
      <c r="AJ171" s="115" t="s">
        <v>180</v>
      </c>
      <c r="AK171" s="115">
        <v>15</v>
      </c>
      <c r="AL171" s="115"/>
      <c r="AM171" s="115"/>
      <c r="AN171" s="116"/>
      <c r="AO171" s="117">
        <v>1</v>
      </c>
      <c r="AP171" s="115">
        <v>1</v>
      </c>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spans="1:72">
      <c r="A172" s="115">
        <v>2</v>
      </c>
      <c r="B172" s="115" t="s">
        <v>207</v>
      </c>
      <c r="C172" s="115" t="s">
        <v>179</v>
      </c>
      <c r="D172" s="115">
        <v>288029963</v>
      </c>
      <c r="E172" s="115" t="s">
        <v>235</v>
      </c>
      <c r="F172" s="115" t="s">
        <v>70</v>
      </c>
      <c r="G172" s="115">
        <v>6</v>
      </c>
      <c r="H172" s="115" t="s">
        <v>22</v>
      </c>
      <c r="I172" s="115" t="s">
        <v>177</v>
      </c>
      <c r="J172" s="115" t="s">
        <v>188</v>
      </c>
      <c r="K172" s="115" t="s">
        <v>177</v>
      </c>
      <c r="L172" s="115" t="s">
        <v>178</v>
      </c>
      <c r="M172" s="115"/>
      <c r="N172" s="115"/>
      <c r="O172" s="115">
        <v>0</v>
      </c>
      <c r="P172" s="115">
        <v>3</v>
      </c>
      <c r="Q172" s="115">
        <v>2</v>
      </c>
      <c r="R172" s="115">
        <v>0</v>
      </c>
      <c r="S172" s="115" t="s">
        <v>179</v>
      </c>
      <c r="T172" s="115">
        <v>4</v>
      </c>
      <c r="U172" s="115"/>
      <c r="V172" s="115"/>
      <c r="W172" s="115" t="s">
        <v>178</v>
      </c>
      <c r="X172" s="115" t="s">
        <v>178</v>
      </c>
      <c r="Y172" s="115" t="s">
        <v>178</v>
      </c>
      <c r="Z172" s="115" t="s">
        <v>178</v>
      </c>
      <c r="AA172" s="115"/>
      <c r="AB172" s="115"/>
      <c r="AC172" s="115"/>
      <c r="AD172" s="115">
        <v>61</v>
      </c>
      <c r="AE172" s="115">
        <v>10.6</v>
      </c>
      <c r="AF172" s="115">
        <v>300</v>
      </c>
      <c r="AG172" s="115">
        <v>7</v>
      </c>
      <c r="AH172" s="115">
        <v>10</v>
      </c>
      <c r="AI172" s="115">
        <v>630</v>
      </c>
      <c r="AJ172" s="115" t="s">
        <v>180</v>
      </c>
      <c r="AK172" s="115">
        <v>10</v>
      </c>
      <c r="AL172" s="115"/>
      <c r="AM172" s="115"/>
      <c r="AN172" s="116"/>
      <c r="AO172" s="117">
        <v>0</v>
      </c>
      <c r="AP172" s="115">
        <v>2</v>
      </c>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spans="1:72">
      <c r="A173" s="115">
        <v>2</v>
      </c>
      <c r="B173" s="115" t="s">
        <v>227</v>
      </c>
      <c r="C173" s="115" t="s">
        <v>157</v>
      </c>
      <c r="D173" s="115">
        <v>178168888</v>
      </c>
      <c r="E173" s="115" t="s">
        <v>181</v>
      </c>
      <c r="F173" s="115" t="s">
        <v>115</v>
      </c>
      <c r="G173" s="115">
        <v>1</v>
      </c>
      <c r="H173" s="115" t="s">
        <v>155</v>
      </c>
      <c r="I173" s="115" t="s">
        <v>22</v>
      </c>
      <c r="J173" s="115" t="s">
        <v>176</v>
      </c>
      <c r="K173" s="115" t="s">
        <v>186</v>
      </c>
      <c r="L173" s="115" t="s">
        <v>1</v>
      </c>
      <c r="M173" s="115" t="s">
        <v>22</v>
      </c>
      <c r="N173" s="115">
        <v>6</v>
      </c>
      <c r="O173" s="115">
        <v>3</v>
      </c>
      <c r="P173" s="115">
        <v>0</v>
      </c>
      <c r="Q173" s="115">
        <v>0</v>
      </c>
      <c r="R173" s="115">
        <v>0</v>
      </c>
      <c r="S173" s="115" t="s">
        <v>179</v>
      </c>
      <c r="T173" s="115">
        <v>2</v>
      </c>
      <c r="U173" s="115"/>
      <c r="V173" s="115"/>
      <c r="W173" s="115"/>
      <c r="X173" s="115"/>
      <c r="Y173" s="115"/>
      <c r="Z173" s="115"/>
      <c r="AA173" s="115"/>
      <c r="AB173" s="115"/>
      <c r="AC173" s="115"/>
      <c r="AD173" s="115">
        <v>84</v>
      </c>
      <c r="AE173" s="115">
        <v>38.200000000000003</v>
      </c>
      <c r="AF173" s="115">
        <v>300</v>
      </c>
      <c r="AG173" s="115">
        <v>7</v>
      </c>
      <c r="AH173" s="115">
        <v>10</v>
      </c>
      <c r="AI173" s="115">
        <v>630</v>
      </c>
      <c r="AJ173" s="115" t="s">
        <v>180</v>
      </c>
      <c r="AK173" s="115">
        <v>15</v>
      </c>
      <c r="AL173" s="115"/>
      <c r="AM173" s="115">
        <v>2</v>
      </c>
      <c r="AN173" s="116" t="s">
        <v>316</v>
      </c>
      <c r="AO173" s="117" t="s">
        <v>157</v>
      </c>
      <c r="AP173" s="115">
        <v>3</v>
      </c>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spans="1:72">
      <c r="A174" s="115">
        <v>4</v>
      </c>
      <c r="B174" s="115" t="s">
        <v>207</v>
      </c>
      <c r="C174" s="115" t="s">
        <v>157</v>
      </c>
      <c r="D174" s="115">
        <v>262091946</v>
      </c>
      <c r="E174" s="115" t="s">
        <v>196</v>
      </c>
      <c r="F174" s="115" t="s">
        <v>89</v>
      </c>
      <c r="G174" s="115">
        <v>2</v>
      </c>
      <c r="H174" s="115" t="s">
        <v>22</v>
      </c>
      <c r="I174" s="115"/>
      <c r="J174" s="115" t="s">
        <v>200</v>
      </c>
      <c r="K174" s="115" t="s">
        <v>186</v>
      </c>
      <c r="L174" s="115" t="s">
        <v>197</v>
      </c>
      <c r="M174" s="115"/>
      <c r="N174" s="115">
        <v>4</v>
      </c>
      <c r="O174" s="115">
        <v>0</v>
      </c>
      <c r="P174" s="115">
        <v>0</v>
      </c>
      <c r="Q174" s="115">
        <v>3</v>
      </c>
      <c r="R174" s="115">
        <v>1</v>
      </c>
      <c r="S174" s="115" t="s">
        <v>179</v>
      </c>
      <c r="T174" s="115">
        <v>2</v>
      </c>
      <c r="U174" s="115">
        <v>2</v>
      </c>
      <c r="V174" s="115"/>
      <c r="W174" s="115"/>
      <c r="X174" s="115"/>
      <c r="Y174" s="115"/>
      <c r="Z174" s="115"/>
      <c r="AA174" s="115"/>
      <c r="AB174" s="115"/>
      <c r="AC174" s="115"/>
      <c r="AD174" s="115">
        <v>48</v>
      </c>
      <c r="AE174" s="115">
        <v>5.9</v>
      </c>
      <c r="AF174" s="115">
        <v>300</v>
      </c>
      <c r="AG174" s="115">
        <v>7</v>
      </c>
      <c r="AH174" s="115">
        <v>10</v>
      </c>
      <c r="AI174" s="115">
        <v>730</v>
      </c>
      <c r="AJ174" s="115" t="s">
        <v>180</v>
      </c>
      <c r="AK174" s="115">
        <v>6</v>
      </c>
      <c r="AL174" s="115"/>
      <c r="AM174" s="115">
        <v>2</v>
      </c>
      <c r="AN174" s="116" t="s">
        <v>311</v>
      </c>
      <c r="AO174" s="117" t="s">
        <v>157</v>
      </c>
      <c r="AP174" s="115">
        <v>2</v>
      </c>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spans="1:72">
      <c r="A175" s="115">
        <v>5</v>
      </c>
      <c r="B175" s="115" t="s">
        <v>207</v>
      </c>
      <c r="C175" s="115" t="s">
        <v>179</v>
      </c>
      <c r="D175" s="115">
        <v>290077847</v>
      </c>
      <c r="E175" s="115" t="s">
        <v>196</v>
      </c>
      <c r="F175" s="115" t="s">
        <v>89</v>
      </c>
      <c r="G175" s="115">
        <v>2</v>
      </c>
      <c r="H175" s="115" t="s">
        <v>22</v>
      </c>
      <c r="I175" s="115"/>
      <c r="J175" s="115" t="s">
        <v>232</v>
      </c>
      <c r="K175" s="115" t="s">
        <v>186</v>
      </c>
      <c r="L175" s="115" t="s">
        <v>197</v>
      </c>
      <c r="M175" s="115"/>
      <c r="N175" s="115">
        <v>3</v>
      </c>
      <c r="O175" s="115">
        <v>0</v>
      </c>
      <c r="P175" s="115">
        <v>0</v>
      </c>
      <c r="Q175" s="115">
        <v>2</v>
      </c>
      <c r="R175" s="115">
        <v>0</v>
      </c>
      <c r="S175" s="115" t="s">
        <v>179</v>
      </c>
      <c r="T175" s="115">
        <v>2</v>
      </c>
      <c r="U175" s="115">
        <v>2</v>
      </c>
      <c r="V175" s="115"/>
      <c r="W175" s="115" t="s">
        <v>183</v>
      </c>
      <c r="X175" s="115"/>
      <c r="Y175" s="115"/>
      <c r="Z175" s="115"/>
      <c r="AA175" s="115"/>
      <c r="AB175" s="115"/>
      <c r="AC175" s="115"/>
      <c r="AD175" s="115">
        <v>46</v>
      </c>
      <c r="AE175" s="115">
        <v>5.3</v>
      </c>
      <c r="AF175" s="115">
        <v>300</v>
      </c>
      <c r="AG175" s="115">
        <v>7</v>
      </c>
      <c r="AH175" s="115">
        <v>10</v>
      </c>
      <c r="AI175" s="115">
        <v>730</v>
      </c>
      <c r="AJ175" s="115" t="s">
        <v>180</v>
      </c>
      <c r="AK175" s="115">
        <v>6</v>
      </c>
      <c r="AL175" s="115"/>
      <c r="AM175" s="115">
        <v>3</v>
      </c>
      <c r="AN175" s="116" t="s">
        <v>312</v>
      </c>
      <c r="AO175" s="117" t="s">
        <v>215</v>
      </c>
      <c r="AP175" s="115">
        <v>2</v>
      </c>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spans="1:72">
      <c r="A176" s="115">
        <v>5</v>
      </c>
      <c r="B176" s="115" t="s">
        <v>174</v>
      </c>
      <c r="C176" s="115" t="s">
        <v>157</v>
      </c>
      <c r="D176" s="115">
        <v>283105241</v>
      </c>
      <c r="E176" s="115" t="s">
        <v>194</v>
      </c>
      <c r="F176" s="115" t="s">
        <v>98</v>
      </c>
      <c r="G176" s="115">
        <v>1</v>
      </c>
      <c r="H176" s="115" t="s">
        <v>1</v>
      </c>
      <c r="I176" s="115" t="s">
        <v>22</v>
      </c>
      <c r="J176" s="115" t="s">
        <v>176</v>
      </c>
      <c r="K176" s="115" t="s">
        <v>186</v>
      </c>
      <c r="L176" s="115" t="s">
        <v>1</v>
      </c>
      <c r="M176" s="115"/>
      <c r="N176" s="115"/>
      <c r="O176" s="115">
        <v>3</v>
      </c>
      <c r="P176" s="115">
        <v>0</v>
      </c>
      <c r="Q176" s="115">
        <v>0</v>
      </c>
      <c r="R176" s="115">
        <v>0</v>
      </c>
      <c r="S176" s="115" t="s">
        <v>179</v>
      </c>
      <c r="T176" s="115">
        <v>2</v>
      </c>
      <c r="U176" s="115"/>
      <c r="V176" s="115"/>
      <c r="W176" s="115"/>
      <c r="X176" s="115"/>
      <c r="Y176" s="115"/>
      <c r="Z176" s="115"/>
      <c r="AA176" s="115"/>
      <c r="AB176" s="115"/>
      <c r="AC176" s="115"/>
      <c r="AD176" s="115">
        <v>94</v>
      </c>
      <c r="AE176" s="115">
        <v>29.2</v>
      </c>
      <c r="AF176" s="115">
        <v>300</v>
      </c>
      <c r="AG176" s="115">
        <v>7</v>
      </c>
      <c r="AH176" s="115">
        <v>10</v>
      </c>
      <c r="AI176" s="115">
        <v>740</v>
      </c>
      <c r="AJ176" s="115" t="s">
        <v>180</v>
      </c>
      <c r="AK176" s="115">
        <v>14</v>
      </c>
      <c r="AL176" s="115"/>
      <c r="AM176" s="115"/>
      <c r="AN176" s="116"/>
      <c r="AO176" s="117" t="s">
        <v>157</v>
      </c>
      <c r="AP176" s="115">
        <v>1</v>
      </c>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spans="1:72">
      <c r="A177" s="115">
        <v>6</v>
      </c>
      <c r="B177" s="115" t="s">
        <v>305</v>
      </c>
      <c r="C177" s="115" t="s">
        <v>179</v>
      </c>
      <c r="D177" s="115">
        <v>290077844</v>
      </c>
      <c r="E177" s="115" t="s">
        <v>196</v>
      </c>
      <c r="F177" s="115" t="s">
        <v>89</v>
      </c>
      <c r="G177" s="115">
        <v>2</v>
      </c>
      <c r="H177" s="115" t="s">
        <v>155</v>
      </c>
      <c r="I177" s="115"/>
      <c r="J177" s="115" t="s">
        <v>232</v>
      </c>
      <c r="K177" s="115" t="s">
        <v>177</v>
      </c>
      <c r="L177" s="115" t="s">
        <v>197</v>
      </c>
      <c r="M177" s="115"/>
      <c r="N177" s="115"/>
      <c r="O177" s="115">
        <v>0</v>
      </c>
      <c r="P177" s="115"/>
      <c r="Q177" s="115">
        <v>2</v>
      </c>
      <c r="R177" s="115">
        <v>0</v>
      </c>
      <c r="S177" s="115" t="s">
        <v>179</v>
      </c>
      <c r="T177" s="115">
        <v>2</v>
      </c>
      <c r="U177" s="115"/>
      <c r="V177" s="115"/>
      <c r="W177" s="115"/>
      <c r="X177" s="115"/>
      <c r="Y177" s="115"/>
      <c r="Z177" s="115"/>
      <c r="AA177" s="115"/>
      <c r="AB177" s="115"/>
      <c r="AC177" s="115"/>
      <c r="AD177" s="115">
        <v>45</v>
      </c>
      <c r="AE177" s="115">
        <v>5.2</v>
      </c>
      <c r="AF177" s="115">
        <v>300</v>
      </c>
      <c r="AG177" s="115">
        <v>7</v>
      </c>
      <c r="AH177" s="115">
        <v>10</v>
      </c>
      <c r="AI177" s="115">
        <v>740</v>
      </c>
      <c r="AJ177" s="115" t="s">
        <v>180</v>
      </c>
      <c r="AK177" s="115">
        <v>6</v>
      </c>
      <c r="AL177" s="115"/>
      <c r="AM177" s="115"/>
      <c r="AN177" s="116"/>
      <c r="AO177" s="118" t="s">
        <v>215</v>
      </c>
      <c r="AP177" s="115">
        <v>1</v>
      </c>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spans="1:72">
      <c r="A178" s="115">
        <v>7</v>
      </c>
      <c r="B178" s="115" t="s">
        <v>174</v>
      </c>
      <c r="C178" s="115" t="s">
        <v>179</v>
      </c>
      <c r="D178" s="115">
        <v>290077845</v>
      </c>
      <c r="E178" s="115" t="s">
        <v>196</v>
      </c>
      <c r="F178" s="115" t="s">
        <v>89</v>
      </c>
      <c r="G178" s="115">
        <v>2</v>
      </c>
      <c r="H178" s="115" t="s">
        <v>155</v>
      </c>
      <c r="I178" s="115"/>
      <c r="J178" s="115" t="s">
        <v>264</v>
      </c>
      <c r="K178" s="115" t="s">
        <v>177</v>
      </c>
      <c r="L178" s="115" t="s">
        <v>197</v>
      </c>
      <c r="M178" s="115"/>
      <c r="N178" s="115"/>
      <c r="O178" s="115">
        <v>0</v>
      </c>
      <c r="P178" s="115">
        <v>0</v>
      </c>
      <c r="Q178" s="115">
        <v>3</v>
      </c>
      <c r="R178" s="115">
        <v>2</v>
      </c>
      <c r="S178" s="115" t="s">
        <v>179</v>
      </c>
      <c r="T178" s="115">
        <v>1</v>
      </c>
      <c r="U178" s="115"/>
      <c r="V178" s="115"/>
      <c r="W178" s="115"/>
      <c r="X178" s="115" t="s">
        <v>183</v>
      </c>
      <c r="Y178" s="115"/>
      <c r="Z178" s="115"/>
      <c r="AA178" s="115"/>
      <c r="AB178" s="115"/>
      <c r="AC178" s="115"/>
      <c r="AD178" s="115">
        <v>45</v>
      </c>
      <c r="AE178" s="115">
        <v>5.2</v>
      </c>
      <c r="AF178" s="115">
        <v>300</v>
      </c>
      <c r="AG178" s="115">
        <v>7</v>
      </c>
      <c r="AH178" s="115">
        <v>10</v>
      </c>
      <c r="AI178" s="115">
        <v>740</v>
      </c>
      <c r="AJ178" s="115" t="s">
        <v>180</v>
      </c>
      <c r="AK178" s="115">
        <v>6</v>
      </c>
      <c r="AL178" s="115"/>
      <c r="AM178" s="115"/>
      <c r="AN178" s="116"/>
      <c r="AO178" s="117" t="s">
        <v>215</v>
      </c>
      <c r="AP178" s="115">
        <v>1</v>
      </c>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spans="1:72">
      <c r="A179" s="115">
        <v>4</v>
      </c>
      <c r="B179" s="115" t="s">
        <v>227</v>
      </c>
      <c r="C179" s="115" t="s">
        <v>179</v>
      </c>
      <c r="D179" s="115">
        <v>290077843</v>
      </c>
      <c r="E179" s="115" t="s">
        <v>196</v>
      </c>
      <c r="F179" s="115" t="s">
        <v>89</v>
      </c>
      <c r="G179" s="115">
        <v>1</v>
      </c>
      <c r="H179" s="115" t="s">
        <v>155</v>
      </c>
      <c r="I179" s="115" t="s">
        <v>178</v>
      </c>
      <c r="J179" s="115" t="s">
        <v>176</v>
      </c>
      <c r="K179" s="115" t="s">
        <v>177</v>
      </c>
      <c r="L179" s="115" t="s">
        <v>197</v>
      </c>
      <c r="M179" s="115" t="s">
        <v>178</v>
      </c>
      <c r="N179" s="115">
        <v>6</v>
      </c>
      <c r="O179" s="115">
        <v>0</v>
      </c>
      <c r="P179" s="115">
        <v>2</v>
      </c>
      <c r="Q179" s="115">
        <v>3</v>
      </c>
      <c r="R179" s="115">
        <v>1</v>
      </c>
      <c r="S179" s="115" t="s">
        <v>179</v>
      </c>
      <c r="T179" s="115">
        <v>2</v>
      </c>
      <c r="U179" s="115"/>
      <c r="V179" s="115"/>
      <c r="W179" s="115"/>
      <c r="X179" s="115"/>
      <c r="Y179" s="115"/>
      <c r="Z179" s="115"/>
      <c r="AA179" s="115"/>
      <c r="AB179" s="115"/>
      <c r="AC179" s="115"/>
      <c r="AD179" s="115">
        <v>46</v>
      </c>
      <c r="AE179" s="115">
        <v>5.5</v>
      </c>
      <c r="AF179" s="115">
        <v>300</v>
      </c>
      <c r="AG179" s="115">
        <v>7</v>
      </c>
      <c r="AH179" s="115">
        <v>10</v>
      </c>
      <c r="AI179" s="115">
        <v>740</v>
      </c>
      <c r="AJ179" s="115" t="s">
        <v>180</v>
      </c>
      <c r="AK179" s="115">
        <v>6</v>
      </c>
      <c r="AL179" s="115"/>
      <c r="AM179" s="115"/>
      <c r="AN179" s="116"/>
      <c r="AO179" s="117" t="s">
        <v>215</v>
      </c>
      <c r="AP179" s="115">
        <v>3</v>
      </c>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spans="1:72">
      <c r="A180" s="115">
        <v>5</v>
      </c>
      <c r="B180" s="115" t="s">
        <v>227</v>
      </c>
      <c r="C180" s="115" t="s">
        <v>179</v>
      </c>
      <c r="D180" s="115">
        <v>290077846</v>
      </c>
      <c r="E180" s="115" t="s">
        <v>196</v>
      </c>
      <c r="F180" s="115" t="s">
        <v>89</v>
      </c>
      <c r="G180" s="115">
        <v>1</v>
      </c>
      <c r="H180" s="115" t="s">
        <v>155</v>
      </c>
      <c r="I180" s="115" t="s">
        <v>178</v>
      </c>
      <c r="J180" s="115" t="s">
        <v>176</v>
      </c>
      <c r="K180" s="115" t="s">
        <v>177</v>
      </c>
      <c r="L180" s="115" t="s">
        <v>197</v>
      </c>
      <c r="M180" s="115" t="s">
        <v>178</v>
      </c>
      <c r="N180" s="115">
        <v>6</v>
      </c>
      <c r="O180" s="115">
        <v>0</v>
      </c>
      <c r="P180" s="115">
        <v>2</v>
      </c>
      <c r="Q180" s="115">
        <v>3</v>
      </c>
      <c r="R180" s="115">
        <v>0</v>
      </c>
      <c r="S180" s="115" t="s">
        <v>179</v>
      </c>
      <c r="T180" s="115">
        <v>2</v>
      </c>
      <c r="U180" s="115"/>
      <c r="V180" s="115"/>
      <c r="W180" s="115"/>
      <c r="X180" s="115"/>
      <c r="Y180" s="115"/>
      <c r="Z180" s="115"/>
      <c r="AA180" s="115"/>
      <c r="AB180" s="115"/>
      <c r="AC180" s="115"/>
      <c r="AD180" s="115">
        <v>46</v>
      </c>
      <c r="AE180" s="115">
        <v>5.4</v>
      </c>
      <c r="AF180" s="115">
        <v>300</v>
      </c>
      <c r="AG180" s="115">
        <v>7</v>
      </c>
      <c r="AH180" s="115">
        <v>10</v>
      </c>
      <c r="AI180" s="115">
        <v>740</v>
      </c>
      <c r="AJ180" s="115" t="s">
        <v>180</v>
      </c>
      <c r="AK180" s="115">
        <v>6</v>
      </c>
      <c r="AL180" s="115"/>
      <c r="AM180" s="115"/>
      <c r="AN180" s="116"/>
      <c r="AO180" s="117" t="s">
        <v>215</v>
      </c>
      <c r="AP180" s="115">
        <v>3</v>
      </c>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spans="1:72">
      <c r="A181" s="115">
        <v>6</v>
      </c>
      <c r="B181" s="115" t="s">
        <v>305</v>
      </c>
      <c r="C181" s="115" t="s">
        <v>179</v>
      </c>
      <c r="D181" s="115">
        <v>290077848</v>
      </c>
      <c r="E181" s="115" t="s">
        <v>196</v>
      </c>
      <c r="F181" s="115" t="s">
        <v>89</v>
      </c>
      <c r="G181" s="115">
        <v>2</v>
      </c>
      <c r="H181" s="115" t="s">
        <v>155</v>
      </c>
      <c r="I181" s="115" t="s">
        <v>22</v>
      </c>
      <c r="J181" s="115" t="s">
        <v>232</v>
      </c>
      <c r="K181" s="115" t="s">
        <v>186</v>
      </c>
      <c r="L181" s="115" t="s">
        <v>197</v>
      </c>
      <c r="M181" s="115"/>
      <c r="N181" s="115">
        <v>2</v>
      </c>
      <c r="O181" s="115">
        <v>0</v>
      </c>
      <c r="P181" s="115">
        <v>0</v>
      </c>
      <c r="Q181" s="115">
        <v>2</v>
      </c>
      <c r="R181" s="115">
        <v>0</v>
      </c>
      <c r="S181" s="115" t="s">
        <v>179</v>
      </c>
      <c r="T181" s="115">
        <v>2</v>
      </c>
      <c r="U181" s="115"/>
      <c r="V181" s="115"/>
      <c r="W181" s="115"/>
      <c r="X181" s="115"/>
      <c r="Y181" s="115"/>
      <c r="Z181" s="115"/>
      <c r="AA181" s="115"/>
      <c r="AB181" s="115"/>
      <c r="AC181" s="115"/>
      <c r="AD181" s="115">
        <v>47</v>
      </c>
      <c r="AE181" s="115">
        <v>5.3</v>
      </c>
      <c r="AF181" s="115">
        <v>300</v>
      </c>
      <c r="AG181" s="115">
        <v>7</v>
      </c>
      <c r="AH181" s="115">
        <v>10</v>
      </c>
      <c r="AI181" s="115">
        <v>740</v>
      </c>
      <c r="AJ181" s="115" t="s">
        <v>180</v>
      </c>
      <c r="AK181" s="115">
        <v>6</v>
      </c>
      <c r="AL181" s="115"/>
      <c r="AM181" s="115"/>
      <c r="AN181" s="116"/>
      <c r="AO181" s="117" t="s">
        <v>215</v>
      </c>
      <c r="AP181" s="115">
        <v>3</v>
      </c>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spans="1:72">
      <c r="A182" s="115">
        <v>7</v>
      </c>
      <c r="B182" s="115" t="s">
        <v>227</v>
      </c>
      <c r="C182" s="115" t="s">
        <v>157</v>
      </c>
      <c r="D182" s="115">
        <v>804191913</v>
      </c>
      <c r="E182" s="115" t="s">
        <v>181</v>
      </c>
      <c r="F182" s="115" t="s">
        <v>115</v>
      </c>
      <c r="G182" s="115">
        <v>1</v>
      </c>
      <c r="H182" s="115" t="s">
        <v>155</v>
      </c>
      <c r="I182" s="115" t="s">
        <v>22</v>
      </c>
      <c r="J182" s="115" t="s">
        <v>176</v>
      </c>
      <c r="K182" s="115" t="s">
        <v>177</v>
      </c>
      <c r="L182" s="115" t="s">
        <v>178</v>
      </c>
      <c r="M182" s="115" t="s">
        <v>22</v>
      </c>
      <c r="N182" s="115">
        <v>6</v>
      </c>
      <c r="O182" s="115">
        <v>0</v>
      </c>
      <c r="P182" s="115">
        <v>4</v>
      </c>
      <c r="Q182" s="115">
        <v>1</v>
      </c>
      <c r="R182" s="115">
        <v>0</v>
      </c>
      <c r="S182" s="115" t="s">
        <v>179</v>
      </c>
      <c r="T182" s="115">
        <v>3</v>
      </c>
      <c r="U182" s="115"/>
      <c r="V182" s="115"/>
      <c r="W182" s="115"/>
      <c r="X182" s="115"/>
      <c r="Y182" s="115"/>
      <c r="Z182" s="115"/>
      <c r="AA182" s="115"/>
      <c r="AB182" s="115"/>
      <c r="AC182" s="115"/>
      <c r="AD182" s="115">
        <v>81</v>
      </c>
      <c r="AE182" s="115">
        <v>39.4</v>
      </c>
      <c r="AF182" s="115">
        <v>300</v>
      </c>
      <c r="AG182" s="115">
        <v>7</v>
      </c>
      <c r="AH182" s="115">
        <v>10</v>
      </c>
      <c r="AI182" s="115">
        <v>810</v>
      </c>
      <c r="AJ182" s="115" t="s">
        <v>180</v>
      </c>
      <c r="AK182" s="115">
        <v>2</v>
      </c>
      <c r="AL182" s="115"/>
      <c r="AM182" s="115">
        <v>4</v>
      </c>
      <c r="AN182" s="116" t="s">
        <v>318</v>
      </c>
      <c r="AO182" s="118" t="s">
        <v>157</v>
      </c>
      <c r="AP182" s="115">
        <v>3</v>
      </c>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spans="1:72">
      <c r="A183" s="115">
        <v>9</v>
      </c>
      <c r="B183" s="115" t="s">
        <v>174</v>
      </c>
      <c r="C183" s="115" t="s">
        <v>157</v>
      </c>
      <c r="D183" s="115">
        <v>271150876</v>
      </c>
      <c r="E183" s="115" t="s">
        <v>175</v>
      </c>
      <c r="F183" s="115" t="s">
        <v>114</v>
      </c>
      <c r="G183" s="115">
        <v>1</v>
      </c>
      <c r="H183" s="115" t="s">
        <v>178</v>
      </c>
      <c r="I183" s="115" t="s">
        <v>22</v>
      </c>
      <c r="J183" s="115" t="s">
        <v>176</v>
      </c>
      <c r="K183" s="115" t="s">
        <v>177</v>
      </c>
      <c r="L183" s="115" t="s">
        <v>178</v>
      </c>
      <c r="M183" s="115"/>
      <c r="N183" s="115"/>
      <c r="O183" s="115">
        <v>0</v>
      </c>
      <c r="P183" s="115">
        <v>3</v>
      </c>
      <c r="Q183" s="115">
        <v>1</v>
      </c>
      <c r="R183" s="115">
        <v>0</v>
      </c>
      <c r="S183" s="115" t="s">
        <v>179</v>
      </c>
      <c r="T183" s="115">
        <v>2</v>
      </c>
      <c r="U183" s="115"/>
      <c r="V183" s="115"/>
      <c r="W183" s="115"/>
      <c r="X183" s="115"/>
      <c r="Y183" s="115"/>
      <c r="Z183" s="115"/>
      <c r="AA183" s="115"/>
      <c r="AB183" s="115"/>
      <c r="AC183" s="115"/>
      <c r="AD183" s="115">
        <v>60</v>
      </c>
      <c r="AE183" s="115">
        <v>20.100000000000001</v>
      </c>
      <c r="AF183" s="115">
        <v>300</v>
      </c>
      <c r="AG183" s="115">
        <v>7</v>
      </c>
      <c r="AH183" s="115">
        <v>10</v>
      </c>
      <c r="AI183" s="115">
        <v>910</v>
      </c>
      <c r="AJ183" s="115" t="s">
        <v>180</v>
      </c>
      <c r="AK183" s="115">
        <v>20</v>
      </c>
      <c r="AL183" s="115"/>
      <c r="AM183" s="115">
        <v>4</v>
      </c>
      <c r="AN183" s="116" t="s">
        <v>308</v>
      </c>
      <c r="AO183" s="117" t="s">
        <v>157</v>
      </c>
      <c r="AP183" s="115">
        <v>1</v>
      </c>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spans="1:72">
      <c r="A184" s="115">
        <v>8</v>
      </c>
      <c r="B184" s="115" t="s">
        <v>305</v>
      </c>
      <c r="C184" s="115" t="s">
        <v>157</v>
      </c>
      <c r="D184" s="115">
        <v>172176244</v>
      </c>
      <c r="E184" s="115" t="s">
        <v>175</v>
      </c>
      <c r="F184" s="115" t="s">
        <v>114</v>
      </c>
      <c r="G184" s="115">
        <v>1</v>
      </c>
      <c r="H184" s="115" t="s">
        <v>22</v>
      </c>
      <c r="I184" s="115" t="s">
        <v>1</v>
      </c>
      <c r="J184" s="115" t="s">
        <v>176</v>
      </c>
      <c r="K184" s="115" t="s">
        <v>186</v>
      </c>
      <c r="L184" s="115" t="s">
        <v>1</v>
      </c>
      <c r="M184" s="115" t="s">
        <v>22</v>
      </c>
      <c r="N184" s="115"/>
      <c r="O184" s="115">
        <v>3</v>
      </c>
      <c r="P184" s="115">
        <v>0</v>
      </c>
      <c r="Q184" s="115">
        <v>1</v>
      </c>
      <c r="R184" s="115">
        <v>0</v>
      </c>
      <c r="S184" s="115" t="s">
        <v>179</v>
      </c>
      <c r="T184" s="115">
        <v>2</v>
      </c>
      <c r="U184" s="115"/>
      <c r="V184" s="115"/>
      <c r="W184" s="115"/>
      <c r="X184" s="115"/>
      <c r="Y184" s="115"/>
      <c r="Z184" s="115"/>
      <c r="AA184" s="115"/>
      <c r="AB184" s="115"/>
      <c r="AC184" s="115"/>
      <c r="AD184" s="115">
        <v>67</v>
      </c>
      <c r="AE184" s="115">
        <v>23.5</v>
      </c>
      <c r="AF184" s="115">
        <v>300</v>
      </c>
      <c r="AG184" s="115">
        <v>7</v>
      </c>
      <c r="AH184" s="115">
        <v>10</v>
      </c>
      <c r="AI184" s="115">
        <v>910</v>
      </c>
      <c r="AJ184" s="115" t="s">
        <v>180</v>
      </c>
      <c r="AK184" s="115">
        <v>21</v>
      </c>
      <c r="AL184" s="115"/>
      <c r="AM184" s="115">
        <v>5</v>
      </c>
      <c r="AN184" s="116" t="s">
        <v>319</v>
      </c>
      <c r="AO184" s="117" t="s">
        <v>157</v>
      </c>
      <c r="AP184" s="115">
        <v>3</v>
      </c>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spans="1:72">
      <c r="A185" s="115">
        <v>6</v>
      </c>
      <c r="B185" s="115" t="s">
        <v>207</v>
      </c>
      <c r="C185" s="115" t="s">
        <v>179</v>
      </c>
      <c r="D185" s="115">
        <v>172176249</v>
      </c>
      <c r="E185" s="115" t="s">
        <v>194</v>
      </c>
      <c r="F185" s="115" t="s">
        <v>98</v>
      </c>
      <c r="G185" s="115">
        <v>1</v>
      </c>
      <c r="H185" s="115"/>
      <c r="I185" s="115"/>
      <c r="J185" s="115" t="s">
        <v>176</v>
      </c>
      <c r="K185" s="115" t="s">
        <v>186</v>
      </c>
      <c r="L185" s="115" t="s">
        <v>1</v>
      </c>
      <c r="M185" s="115"/>
      <c r="N185" s="115"/>
      <c r="O185" s="115">
        <v>3</v>
      </c>
      <c r="P185" s="115">
        <v>0</v>
      </c>
      <c r="Q185" s="115">
        <v>1</v>
      </c>
      <c r="R185" s="115">
        <v>0</v>
      </c>
      <c r="S185" s="115" t="s">
        <v>179</v>
      </c>
      <c r="T185" s="115">
        <v>4</v>
      </c>
      <c r="U185" s="115"/>
      <c r="V185" s="115"/>
      <c r="W185" s="115"/>
      <c r="X185" s="115"/>
      <c r="Y185" s="115"/>
      <c r="Z185" s="115"/>
      <c r="AA185" s="115" t="s">
        <v>189</v>
      </c>
      <c r="AB185" s="115"/>
      <c r="AC185" s="115"/>
      <c r="AD185" s="115">
        <v>92</v>
      </c>
      <c r="AE185" s="115">
        <v>30.5</v>
      </c>
      <c r="AF185" s="115">
        <v>300</v>
      </c>
      <c r="AG185" s="115">
        <v>7</v>
      </c>
      <c r="AH185" s="115">
        <v>10</v>
      </c>
      <c r="AI185" s="115">
        <v>920</v>
      </c>
      <c r="AJ185" s="115" t="s">
        <v>180</v>
      </c>
      <c r="AK185" s="115">
        <v>15</v>
      </c>
      <c r="AL185" s="115"/>
      <c r="AM185" s="115">
        <v>4</v>
      </c>
      <c r="AN185" s="116" t="s">
        <v>313</v>
      </c>
      <c r="AO185" s="117" t="s">
        <v>203</v>
      </c>
      <c r="AP185" s="115">
        <v>2</v>
      </c>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spans="1:72">
      <c r="A186" s="115">
        <v>7</v>
      </c>
      <c r="B186" s="115" t="s">
        <v>207</v>
      </c>
      <c r="C186" s="115" t="s">
        <v>179</v>
      </c>
      <c r="D186" s="115">
        <v>230196613</v>
      </c>
      <c r="E186" s="115" t="s">
        <v>280</v>
      </c>
      <c r="F186" s="115" t="s">
        <v>128</v>
      </c>
      <c r="G186" s="115">
        <v>6</v>
      </c>
      <c r="H186" s="115" t="s">
        <v>22</v>
      </c>
      <c r="I186" s="115"/>
      <c r="J186" s="115" t="s">
        <v>188</v>
      </c>
      <c r="K186" s="115" t="s">
        <v>186</v>
      </c>
      <c r="L186" s="115" t="s">
        <v>1</v>
      </c>
      <c r="M186" s="115"/>
      <c r="N186" s="115"/>
      <c r="O186" s="115">
        <v>3</v>
      </c>
      <c r="P186" s="115">
        <v>0</v>
      </c>
      <c r="Q186" s="115">
        <v>1</v>
      </c>
      <c r="R186" s="115">
        <v>0</v>
      </c>
      <c r="S186" s="115" t="s">
        <v>179</v>
      </c>
      <c r="T186" s="115">
        <v>3</v>
      </c>
      <c r="U186" s="115"/>
      <c r="V186" s="115"/>
      <c r="W186" s="115"/>
      <c r="X186" s="115"/>
      <c r="Y186" s="115"/>
      <c r="Z186" s="115"/>
      <c r="AA186" s="115"/>
      <c r="AB186" s="115"/>
      <c r="AC186" s="115"/>
      <c r="AD186" s="115">
        <v>101</v>
      </c>
      <c r="AE186" s="115">
        <v>45.1</v>
      </c>
      <c r="AF186" s="115">
        <v>300</v>
      </c>
      <c r="AG186" s="115">
        <v>7</v>
      </c>
      <c r="AH186" s="115">
        <v>10</v>
      </c>
      <c r="AI186" s="115">
        <v>920</v>
      </c>
      <c r="AJ186" s="115" t="s">
        <v>180</v>
      </c>
      <c r="AK186" s="115">
        <v>9</v>
      </c>
      <c r="AL186" s="115"/>
      <c r="AM186" s="115">
        <v>5</v>
      </c>
      <c r="AN186" s="116" t="s">
        <v>314</v>
      </c>
      <c r="AO186" s="118" t="s">
        <v>184</v>
      </c>
      <c r="AP186" s="115">
        <v>2</v>
      </c>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spans="1:72">
      <c r="A187" s="115">
        <v>9</v>
      </c>
      <c r="B187" s="115" t="s">
        <v>227</v>
      </c>
      <c r="C187" s="115" t="s">
        <v>179</v>
      </c>
      <c r="D187" s="115">
        <v>281191243</v>
      </c>
      <c r="E187" s="115" t="s">
        <v>199</v>
      </c>
      <c r="F187" s="115" t="s">
        <v>111</v>
      </c>
      <c r="G187" s="115">
        <v>5</v>
      </c>
      <c r="H187" s="115" t="s">
        <v>22</v>
      </c>
      <c r="I187" s="115"/>
      <c r="J187" s="115" t="s">
        <v>320</v>
      </c>
      <c r="K187" s="115" t="s">
        <v>186</v>
      </c>
      <c r="L187" s="115" t="s">
        <v>22</v>
      </c>
      <c r="M187" s="115"/>
      <c r="N187" s="115">
        <v>6</v>
      </c>
      <c r="O187" s="115">
        <v>0</v>
      </c>
      <c r="P187" s="115">
        <v>0</v>
      </c>
      <c r="Q187" s="115">
        <v>0</v>
      </c>
      <c r="R187" s="115">
        <v>0</v>
      </c>
      <c r="S187" s="115" t="s">
        <v>155</v>
      </c>
      <c r="T187" s="115">
        <v>3</v>
      </c>
      <c r="U187" s="115"/>
      <c r="V187" s="115"/>
      <c r="W187" s="115"/>
      <c r="X187" s="115"/>
      <c r="Y187" s="115"/>
      <c r="Z187" s="115"/>
      <c r="AA187" s="115"/>
      <c r="AB187" s="115"/>
      <c r="AC187" s="115"/>
      <c r="AD187" s="115">
        <v>73</v>
      </c>
      <c r="AE187" s="115"/>
      <c r="AF187" s="115">
        <v>300</v>
      </c>
      <c r="AG187" s="115">
        <v>7</v>
      </c>
      <c r="AH187" s="115">
        <v>10</v>
      </c>
      <c r="AI187" s="115">
        <v>940</v>
      </c>
      <c r="AJ187" s="115" t="s">
        <v>180</v>
      </c>
      <c r="AK187" s="115">
        <v>2</v>
      </c>
      <c r="AL187" s="115"/>
      <c r="AM187" s="115">
        <v>6</v>
      </c>
      <c r="AN187" s="116" t="s">
        <v>321</v>
      </c>
      <c r="AO187" s="118">
        <v>1</v>
      </c>
      <c r="AP187" s="115">
        <v>3</v>
      </c>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spans="1:72">
      <c r="A188" s="115">
        <v>10</v>
      </c>
      <c r="B188" s="115" t="s">
        <v>305</v>
      </c>
      <c r="C188" s="115" t="s">
        <v>179</v>
      </c>
      <c r="D188" s="115">
        <v>288029964</v>
      </c>
      <c r="E188" s="115" t="s">
        <v>238</v>
      </c>
      <c r="F188" s="115" t="s">
        <v>87</v>
      </c>
      <c r="G188" s="115">
        <v>1</v>
      </c>
      <c r="H188" s="115" t="s">
        <v>155</v>
      </c>
      <c r="I188" s="115" t="s">
        <v>178</v>
      </c>
      <c r="J188" s="115" t="s">
        <v>205</v>
      </c>
      <c r="K188" s="115" t="s">
        <v>177</v>
      </c>
      <c r="L188" s="115" t="s">
        <v>178</v>
      </c>
      <c r="M188" s="115"/>
      <c r="N188" s="115">
        <v>6</v>
      </c>
      <c r="O188" s="115">
        <v>0</v>
      </c>
      <c r="P188" s="115">
        <v>5</v>
      </c>
      <c r="Q188" s="115">
        <v>2</v>
      </c>
      <c r="R188" s="115">
        <v>3</v>
      </c>
      <c r="S188" s="115" t="s">
        <v>155</v>
      </c>
      <c r="T188" s="115">
        <v>1</v>
      </c>
      <c r="U188" s="115"/>
      <c r="V188" s="115" t="s">
        <v>178</v>
      </c>
      <c r="W188" s="115" t="s">
        <v>178</v>
      </c>
      <c r="X188" s="115" t="s">
        <v>178</v>
      </c>
      <c r="Y188" s="115" t="s">
        <v>178</v>
      </c>
      <c r="Z188" s="115"/>
      <c r="AA188" s="115"/>
      <c r="AB188" s="115"/>
      <c r="AC188" s="115"/>
      <c r="AD188" s="115">
        <v>58</v>
      </c>
      <c r="AE188" s="115">
        <v>10.5</v>
      </c>
      <c r="AF188" s="115">
        <v>300</v>
      </c>
      <c r="AG188" s="115">
        <v>7</v>
      </c>
      <c r="AH188" s="115">
        <v>10</v>
      </c>
      <c r="AI188" s="115">
        <v>1020</v>
      </c>
      <c r="AJ188" s="115" t="s">
        <v>180</v>
      </c>
      <c r="AK188" s="115">
        <v>15</v>
      </c>
      <c r="AL188" s="115"/>
      <c r="AM188" s="115">
        <v>5</v>
      </c>
      <c r="AN188" s="116" t="s">
        <v>309</v>
      </c>
      <c r="AO188" s="118">
        <v>0</v>
      </c>
      <c r="AP188" s="115">
        <v>1</v>
      </c>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spans="1:72">
      <c r="A189" s="115">
        <v>10</v>
      </c>
      <c r="B189" s="115" t="s">
        <v>227</v>
      </c>
      <c r="C189" s="115" t="s">
        <v>179</v>
      </c>
      <c r="D189" s="115">
        <v>172176250</v>
      </c>
      <c r="E189" s="115" t="s">
        <v>175</v>
      </c>
      <c r="F189" s="115" t="s">
        <v>114</v>
      </c>
      <c r="G189" s="115">
        <v>2</v>
      </c>
      <c r="H189" s="115" t="s">
        <v>155</v>
      </c>
      <c r="I189" s="115" t="s">
        <v>22</v>
      </c>
      <c r="J189" s="115" t="s">
        <v>232</v>
      </c>
      <c r="K189" s="115" t="s">
        <v>189</v>
      </c>
      <c r="L189" s="115"/>
      <c r="M189" s="115"/>
      <c r="N189" s="115">
        <v>5</v>
      </c>
      <c r="O189" s="115">
        <v>0</v>
      </c>
      <c r="P189" s="115">
        <v>0</v>
      </c>
      <c r="Q189" s="115">
        <v>0</v>
      </c>
      <c r="R189" s="115">
        <v>0</v>
      </c>
      <c r="S189" s="115" t="s">
        <v>179</v>
      </c>
      <c r="T189" s="115">
        <v>1</v>
      </c>
      <c r="U189" s="115">
        <v>3</v>
      </c>
      <c r="V189" s="115"/>
      <c r="W189" s="115"/>
      <c r="X189" s="115"/>
      <c r="Y189" s="115"/>
      <c r="Z189" s="115"/>
      <c r="AA189" s="115"/>
      <c r="AB189" s="115"/>
      <c r="AC189" s="115"/>
      <c r="AD189" s="115">
        <v>67</v>
      </c>
      <c r="AE189" s="115">
        <v>21.3</v>
      </c>
      <c r="AF189" s="115">
        <v>300</v>
      </c>
      <c r="AG189" s="115">
        <v>7</v>
      </c>
      <c r="AH189" s="115">
        <v>10</v>
      </c>
      <c r="AI189" s="115">
        <v>1020</v>
      </c>
      <c r="AJ189" s="115" t="s">
        <v>180</v>
      </c>
      <c r="AK189" s="115">
        <v>6</v>
      </c>
      <c r="AL189" s="115"/>
      <c r="AM189" s="115">
        <v>7</v>
      </c>
      <c r="AN189" s="116" t="s">
        <v>322</v>
      </c>
      <c r="AO189" s="117" t="s">
        <v>203</v>
      </c>
      <c r="AP189" s="115">
        <v>3</v>
      </c>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spans="1:72">
      <c r="A190" s="115">
        <v>11</v>
      </c>
      <c r="B190" s="115" t="s">
        <v>174</v>
      </c>
      <c r="C190" s="115" t="s">
        <v>189</v>
      </c>
      <c r="D190" s="115"/>
      <c r="E190" s="115" t="s">
        <v>192</v>
      </c>
      <c r="F190" s="115" t="s">
        <v>37</v>
      </c>
      <c r="G190" s="115">
        <v>2</v>
      </c>
      <c r="H190" s="115" t="s">
        <v>220</v>
      </c>
      <c r="I190" s="115" t="s">
        <v>22</v>
      </c>
      <c r="J190" s="115" t="s">
        <v>264</v>
      </c>
      <c r="K190" s="115" t="s">
        <v>186</v>
      </c>
      <c r="L190" s="115" t="s">
        <v>22</v>
      </c>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v>7</v>
      </c>
      <c r="AH190" s="115">
        <v>10</v>
      </c>
      <c r="AI190" s="115">
        <v>1040</v>
      </c>
      <c r="AJ190" s="115" t="s">
        <v>180</v>
      </c>
      <c r="AK190" s="115">
        <v>21</v>
      </c>
      <c r="AL190" s="115"/>
      <c r="AM190" s="115"/>
      <c r="AN190" s="116"/>
      <c r="AO190" s="117" t="s">
        <v>189</v>
      </c>
      <c r="AP190" s="115">
        <v>3</v>
      </c>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spans="1:72">
      <c r="A191" s="115">
        <v>12</v>
      </c>
      <c r="B191" s="115" t="s">
        <v>174</v>
      </c>
      <c r="C191" s="115" t="s">
        <v>189</v>
      </c>
      <c r="D191" s="115"/>
      <c r="E191" s="115" t="s">
        <v>193</v>
      </c>
      <c r="F191" s="115" t="s">
        <v>32</v>
      </c>
      <c r="G191" s="115">
        <v>2</v>
      </c>
      <c r="H191" s="115" t="s">
        <v>220</v>
      </c>
      <c r="I191" s="115" t="s">
        <v>22</v>
      </c>
      <c r="J191" s="115" t="s">
        <v>264</v>
      </c>
      <c r="K191" s="115" t="s">
        <v>186</v>
      </c>
      <c r="L191" s="115" t="s">
        <v>22</v>
      </c>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v>7</v>
      </c>
      <c r="AH191" s="115">
        <v>10</v>
      </c>
      <c r="AI191" s="115">
        <v>1040</v>
      </c>
      <c r="AJ191" s="115" t="s">
        <v>180</v>
      </c>
      <c r="AK191" s="115">
        <v>21</v>
      </c>
      <c r="AL191" s="115"/>
      <c r="AM191" s="115"/>
      <c r="AN191" s="116"/>
      <c r="AO191" s="118" t="s">
        <v>189</v>
      </c>
      <c r="AP191" s="115">
        <v>3</v>
      </c>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spans="1:72">
      <c r="A192" s="115">
        <v>1</v>
      </c>
      <c r="B192" s="115" t="s">
        <v>216</v>
      </c>
      <c r="C192" s="115" t="s">
        <v>157</v>
      </c>
      <c r="D192" s="115">
        <v>283105290</v>
      </c>
      <c r="E192" s="115" t="s">
        <v>194</v>
      </c>
      <c r="F192" s="115" t="s">
        <v>98</v>
      </c>
      <c r="G192" s="115">
        <v>1</v>
      </c>
      <c r="H192" s="115" t="s">
        <v>178</v>
      </c>
      <c r="I192" s="115" t="s">
        <v>22</v>
      </c>
      <c r="J192" s="115" t="s">
        <v>182</v>
      </c>
      <c r="K192" s="115" t="s">
        <v>177</v>
      </c>
      <c r="L192" s="115" t="s">
        <v>178</v>
      </c>
      <c r="M192" s="115"/>
      <c r="N192" s="115"/>
      <c r="O192" s="115">
        <v>0</v>
      </c>
      <c r="P192" s="115">
        <v>3</v>
      </c>
      <c r="Q192" s="115">
        <v>0</v>
      </c>
      <c r="R192" s="115">
        <v>0</v>
      </c>
      <c r="S192" s="115" t="s">
        <v>179</v>
      </c>
      <c r="T192" s="115">
        <v>3</v>
      </c>
      <c r="U192" s="115"/>
      <c r="V192" s="115"/>
      <c r="W192" s="115"/>
      <c r="X192" s="115"/>
      <c r="Y192" s="115"/>
      <c r="Z192" s="115"/>
      <c r="AA192" s="115" t="s">
        <v>183</v>
      </c>
      <c r="AB192" s="115"/>
      <c r="AC192" s="115"/>
      <c r="AD192" s="115">
        <v>93</v>
      </c>
      <c r="AE192" s="115">
        <v>27.5</v>
      </c>
      <c r="AF192" s="115">
        <v>300</v>
      </c>
      <c r="AG192" s="115">
        <v>7</v>
      </c>
      <c r="AH192" s="115">
        <v>10</v>
      </c>
      <c r="AI192" s="115"/>
      <c r="AJ192" s="115" t="s">
        <v>180</v>
      </c>
      <c r="AK192" s="115">
        <v>14</v>
      </c>
      <c r="AL192" s="115"/>
      <c r="AM192" s="115">
        <v>1</v>
      </c>
      <c r="AN192" s="116" t="s">
        <v>323</v>
      </c>
      <c r="AO192" s="117" t="s">
        <v>157</v>
      </c>
      <c r="AP192" s="115">
        <v>4</v>
      </c>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spans="1:72">
      <c r="A193" s="115">
        <v>2</v>
      </c>
      <c r="B193" s="115" t="s">
        <v>216</v>
      </c>
      <c r="C193" s="115" t="s">
        <v>179</v>
      </c>
      <c r="D193" s="115">
        <v>281191241</v>
      </c>
      <c r="E193" s="115" t="s">
        <v>229</v>
      </c>
      <c r="F193" s="115" t="s">
        <v>95</v>
      </c>
      <c r="G193" s="115">
        <v>2</v>
      </c>
      <c r="H193" s="115" t="s">
        <v>155</v>
      </c>
      <c r="I193" s="115"/>
      <c r="J193" s="115" t="s">
        <v>232</v>
      </c>
      <c r="K193" s="115" t="s">
        <v>189</v>
      </c>
      <c r="L193" s="115"/>
      <c r="M193" s="115"/>
      <c r="N193" s="115"/>
      <c r="O193" s="115"/>
      <c r="P193" s="115"/>
      <c r="Q193" s="115">
        <v>3</v>
      </c>
      <c r="R193" s="115"/>
      <c r="S193" s="115"/>
      <c r="T193" s="115">
        <v>2</v>
      </c>
      <c r="U193" s="115"/>
      <c r="V193" s="115"/>
      <c r="W193" s="115"/>
      <c r="X193" s="115"/>
      <c r="Y193" s="115"/>
      <c r="Z193" s="115"/>
      <c r="AA193" s="115" t="s">
        <v>183</v>
      </c>
      <c r="AB193" s="115"/>
      <c r="AC193" s="115"/>
      <c r="AD193" s="115">
        <v>49</v>
      </c>
      <c r="AE193" s="115">
        <v>10.3</v>
      </c>
      <c r="AF193" s="115">
        <v>300</v>
      </c>
      <c r="AG193" s="115">
        <v>7</v>
      </c>
      <c r="AH193" s="115">
        <v>10</v>
      </c>
      <c r="AI193" s="115"/>
      <c r="AJ193" s="115" t="s">
        <v>180</v>
      </c>
      <c r="AK193" s="115">
        <v>6</v>
      </c>
      <c r="AL193" s="115"/>
      <c r="AM193" s="115">
        <v>2</v>
      </c>
      <c r="AN193" s="116" t="s">
        <v>324</v>
      </c>
      <c r="AO193" s="118">
        <v>1</v>
      </c>
      <c r="AP193" s="115">
        <v>4</v>
      </c>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spans="1:72">
      <c r="A194" s="115">
        <v>3</v>
      </c>
      <c r="B194" s="115" t="s">
        <v>216</v>
      </c>
      <c r="C194" s="115" t="s">
        <v>179</v>
      </c>
      <c r="D194" s="115">
        <v>135291876</v>
      </c>
      <c r="E194" s="115" t="s">
        <v>191</v>
      </c>
      <c r="F194" s="115" t="s">
        <v>99</v>
      </c>
      <c r="G194" s="115">
        <v>2</v>
      </c>
      <c r="H194" s="115" t="s">
        <v>22</v>
      </c>
      <c r="I194" s="115"/>
      <c r="J194" s="115" t="s">
        <v>232</v>
      </c>
      <c r="K194" s="115" t="s">
        <v>189</v>
      </c>
      <c r="L194" s="115"/>
      <c r="M194" s="115"/>
      <c r="N194" s="115"/>
      <c r="O194" s="115">
        <v>0</v>
      </c>
      <c r="P194" s="115">
        <v>0</v>
      </c>
      <c r="Q194" s="115">
        <v>1</v>
      </c>
      <c r="R194" s="115">
        <v>0</v>
      </c>
      <c r="S194" s="115" t="s">
        <v>179</v>
      </c>
      <c r="T194" s="115">
        <v>3</v>
      </c>
      <c r="U194" s="115"/>
      <c r="V194" s="115"/>
      <c r="W194" s="115"/>
      <c r="X194" s="115"/>
      <c r="Y194" s="115"/>
      <c r="Z194" s="115"/>
      <c r="AA194" s="115" t="s">
        <v>183</v>
      </c>
      <c r="AB194" s="115"/>
      <c r="AC194" s="115"/>
      <c r="AD194" s="115">
        <v>124</v>
      </c>
      <c r="AE194" s="115">
        <v>77.3</v>
      </c>
      <c r="AF194" s="115">
        <v>300</v>
      </c>
      <c r="AG194" s="115">
        <v>7</v>
      </c>
      <c r="AH194" s="115">
        <v>10</v>
      </c>
      <c r="AI194" s="115"/>
      <c r="AJ194" s="115" t="s">
        <v>180</v>
      </c>
      <c r="AK194" s="115">
        <v>15</v>
      </c>
      <c r="AL194" s="115"/>
      <c r="AM194" s="115"/>
      <c r="AN194" s="116"/>
      <c r="AO194" s="118">
        <v>2</v>
      </c>
      <c r="AP194" s="115">
        <v>4</v>
      </c>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spans="1:72">
      <c r="A195" s="115">
        <v>4</v>
      </c>
      <c r="B195" s="115" t="s">
        <v>216</v>
      </c>
      <c r="C195" s="115" t="s">
        <v>179</v>
      </c>
      <c r="D195" s="115">
        <v>135291877</v>
      </c>
      <c r="E195" s="115" t="s">
        <v>181</v>
      </c>
      <c r="F195" s="115" t="s">
        <v>115</v>
      </c>
      <c r="G195" s="115">
        <v>2</v>
      </c>
      <c r="H195" s="115" t="s">
        <v>22</v>
      </c>
      <c r="I195" s="115"/>
      <c r="J195" s="115" t="s">
        <v>232</v>
      </c>
      <c r="K195" s="115" t="s">
        <v>189</v>
      </c>
      <c r="L195" s="115"/>
      <c r="M195" s="115"/>
      <c r="N195" s="115"/>
      <c r="O195" s="115">
        <v>0</v>
      </c>
      <c r="P195" s="115">
        <v>0</v>
      </c>
      <c r="Q195" s="115">
        <v>1</v>
      </c>
      <c r="R195" s="115"/>
      <c r="S195" s="115" t="s">
        <v>183</v>
      </c>
      <c r="T195" s="115">
        <v>1</v>
      </c>
      <c r="U195" s="115">
        <v>3</v>
      </c>
      <c r="V195" s="115"/>
      <c r="W195" s="115"/>
      <c r="X195" s="115" t="s">
        <v>183</v>
      </c>
      <c r="Y195" s="115" t="s">
        <v>183</v>
      </c>
      <c r="Z195" s="115"/>
      <c r="AA195" s="115" t="s">
        <v>183</v>
      </c>
      <c r="AB195" s="115"/>
      <c r="AC195" s="115"/>
      <c r="AD195" s="115">
        <v>78</v>
      </c>
      <c r="AE195" s="115">
        <v>37.4</v>
      </c>
      <c r="AF195" s="115">
        <v>300</v>
      </c>
      <c r="AG195" s="115">
        <v>7</v>
      </c>
      <c r="AH195" s="115">
        <v>10</v>
      </c>
      <c r="AI195" s="115"/>
      <c r="AJ195" s="115" t="s">
        <v>180</v>
      </c>
      <c r="AK195" s="115">
        <v>9</v>
      </c>
      <c r="AL195" s="115"/>
      <c r="AM195" s="115">
        <v>3</v>
      </c>
      <c r="AN195" s="116" t="s">
        <v>325</v>
      </c>
      <c r="AO195" s="117">
        <v>2</v>
      </c>
      <c r="AP195" s="115">
        <v>4</v>
      </c>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spans="1:72">
      <c r="A196" s="115">
        <v>5</v>
      </c>
      <c r="B196" s="115" t="s">
        <v>216</v>
      </c>
      <c r="C196" s="115" t="s">
        <v>179</v>
      </c>
      <c r="D196" s="115">
        <v>172176248</v>
      </c>
      <c r="E196" s="115" t="s">
        <v>175</v>
      </c>
      <c r="F196" s="115" t="s">
        <v>114</v>
      </c>
      <c r="G196" s="115">
        <v>1</v>
      </c>
      <c r="H196" s="115" t="s">
        <v>1</v>
      </c>
      <c r="I196" s="115"/>
      <c r="J196" s="115" t="s">
        <v>232</v>
      </c>
      <c r="K196" s="115"/>
      <c r="L196" s="115"/>
      <c r="M196" s="115"/>
      <c r="N196" s="115"/>
      <c r="O196" s="115">
        <v>3</v>
      </c>
      <c r="P196" s="115">
        <v>0</v>
      </c>
      <c r="Q196" s="115">
        <v>3</v>
      </c>
      <c r="R196" s="115">
        <v>0</v>
      </c>
      <c r="S196" s="115" t="s">
        <v>179</v>
      </c>
      <c r="T196" s="115">
        <v>3</v>
      </c>
      <c r="U196" s="115"/>
      <c r="V196" s="115"/>
      <c r="W196" s="115"/>
      <c r="X196" s="115"/>
      <c r="Y196" s="115"/>
      <c r="Z196" s="115"/>
      <c r="AA196" s="115" t="s">
        <v>183</v>
      </c>
      <c r="AB196" s="115"/>
      <c r="AC196" s="115"/>
      <c r="AD196" s="115">
        <v>69</v>
      </c>
      <c r="AE196" s="115">
        <v>25.5</v>
      </c>
      <c r="AF196" s="115">
        <v>300</v>
      </c>
      <c r="AG196" s="115">
        <v>7</v>
      </c>
      <c r="AH196" s="115">
        <v>10</v>
      </c>
      <c r="AI196" s="115"/>
      <c r="AJ196" s="115" t="s">
        <v>180</v>
      </c>
      <c r="AK196" s="115">
        <v>21</v>
      </c>
      <c r="AL196" s="115"/>
      <c r="AM196" s="115"/>
      <c r="AN196" s="116"/>
      <c r="AO196" s="117" t="s">
        <v>203</v>
      </c>
      <c r="AP196" s="115">
        <v>4</v>
      </c>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spans="1:72">
      <c r="A197" s="115">
        <v>6</v>
      </c>
      <c r="B197" s="115" t="s">
        <v>216</v>
      </c>
      <c r="C197" s="115" t="s">
        <v>157</v>
      </c>
      <c r="D197" s="115">
        <v>221115696</v>
      </c>
      <c r="E197" s="115" t="s">
        <v>181</v>
      </c>
      <c r="F197" s="115" t="s">
        <v>115</v>
      </c>
      <c r="G197" s="115">
        <v>1</v>
      </c>
      <c r="H197" s="115" t="s">
        <v>178</v>
      </c>
      <c r="I197" s="115"/>
      <c r="J197" s="115"/>
      <c r="K197" s="115" t="s">
        <v>177</v>
      </c>
      <c r="L197" s="115" t="s">
        <v>178</v>
      </c>
      <c r="M197" s="115"/>
      <c r="N197" s="115"/>
      <c r="O197" s="115">
        <v>0</v>
      </c>
      <c r="P197" s="115">
        <v>4</v>
      </c>
      <c r="Q197" s="115">
        <v>3</v>
      </c>
      <c r="R197" s="115">
        <v>0</v>
      </c>
      <c r="S197" s="115" t="s">
        <v>179</v>
      </c>
      <c r="T197" s="115">
        <v>2</v>
      </c>
      <c r="U197" s="115"/>
      <c r="V197" s="115"/>
      <c r="W197" s="115"/>
      <c r="X197" s="115"/>
      <c r="Y197" s="115"/>
      <c r="Z197" s="115"/>
      <c r="AA197" s="115"/>
      <c r="AB197" s="115"/>
      <c r="AC197" s="115"/>
      <c r="AD197" s="115">
        <v>79</v>
      </c>
      <c r="AE197" s="115">
        <v>40.200000000000003</v>
      </c>
      <c r="AF197" s="115">
        <v>300</v>
      </c>
      <c r="AG197" s="115">
        <v>7</v>
      </c>
      <c r="AH197" s="115">
        <v>10</v>
      </c>
      <c r="AI197" s="115"/>
      <c r="AJ197" s="115" t="s">
        <v>180</v>
      </c>
      <c r="AK197" s="115">
        <v>2</v>
      </c>
      <c r="AL197" s="115"/>
      <c r="AM197" s="115">
        <v>4</v>
      </c>
      <c r="AN197" s="116" t="s">
        <v>326</v>
      </c>
      <c r="AO197" s="117" t="s">
        <v>157</v>
      </c>
      <c r="AP197" s="115">
        <v>4</v>
      </c>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spans="1:72">
      <c r="A198" s="115">
        <v>7</v>
      </c>
      <c r="B198" s="115" t="s">
        <v>216</v>
      </c>
      <c r="C198" s="115" t="s">
        <v>157</v>
      </c>
      <c r="D198" s="115">
        <v>283105290</v>
      </c>
      <c r="E198" s="115" t="s">
        <v>194</v>
      </c>
      <c r="F198" s="115" t="s">
        <v>98</v>
      </c>
      <c r="G198" s="115">
        <v>9</v>
      </c>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v>300</v>
      </c>
      <c r="AG198" s="115">
        <v>7</v>
      </c>
      <c r="AH198" s="115">
        <v>10</v>
      </c>
      <c r="AI198" s="115"/>
      <c r="AJ198" s="115" t="s">
        <v>180</v>
      </c>
      <c r="AK198" s="115">
        <v>21</v>
      </c>
      <c r="AL198" s="115"/>
      <c r="AM198" s="115">
        <v>5</v>
      </c>
      <c r="AN198" s="116" t="s">
        <v>327</v>
      </c>
      <c r="AO198" s="117" t="s">
        <v>157</v>
      </c>
      <c r="AP198" s="115">
        <v>4</v>
      </c>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spans="1:72">
      <c r="A199" s="115">
        <v>8</v>
      </c>
      <c r="B199" s="115" t="s">
        <v>174</v>
      </c>
      <c r="C199" s="115" t="s">
        <v>179</v>
      </c>
      <c r="D199" s="115">
        <v>230196614</v>
      </c>
      <c r="E199" s="115" t="s">
        <v>280</v>
      </c>
      <c r="F199" s="115" t="s">
        <v>128</v>
      </c>
      <c r="G199" s="115">
        <v>6</v>
      </c>
      <c r="H199" s="115" t="s">
        <v>22</v>
      </c>
      <c r="I199" s="115" t="s">
        <v>185</v>
      </c>
      <c r="J199" s="115" t="s">
        <v>188</v>
      </c>
      <c r="K199" s="115" t="s">
        <v>177</v>
      </c>
      <c r="L199" s="115"/>
      <c r="M199" s="115"/>
      <c r="N199" s="115"/>
      <c r="O199" s="115">
        <v>0</v>
      </c>
      <c r="P199" s="115">
        <v>3</v>
      </c>
      <c r="Q199" s="115">
        <v>2</v>
      </c>
      <c r="R199" s="115">
        <v>0</v>
      </c>
      <c r="S199" s="115" t="s">
        <v>179</v>
      </c>
      <c r="T199" s="115">
        <v>2</v>
      </c>
      <c r="U199" s="115"/>
      <c r="V199" s="115" t="s">
        <v>178</v>
      </c>
      <c r="W199" s="115" t="s">
        <v>178</v>
      </c>
      <c r="X199" s="115" t="s">
        <v>186</v>
      </c>
      <c r="Y199" s="115"/>
      <c r="Z199" s="115" t="s">
        <v>157</v>
      </c>
      <c r="AA199" s="115" t="s">
        <v>157</v>
      </c>
      <c r="AB199" s="115"/>
      <c r="AC199" s="115"/>
      <c r="AD199" s="115">
        <v>100</v>
      </c>
      <c r="AE199" s="115">
        <v>50.7</v>
      </c>
      <c r="AF199" s="115">
        <v>300</v>
      </c>
      <c r="AG199" s="115">
        <v>7</v>
      </c>
      <c r="AH199" s="115">
        <v>10</v>
      </c>
      <c r="AI199" s="115"/>
      <c r="AJ199" s="115" t="s">
        <v>180</v>
      </c>
      <c r="AK199" s="115">
        <v>9</v>
      </c>
      <c r="AL199" s="115"/>
      <c r="AM199" s="115"/>
      <c r="AN199" s="116"/>
      <c r="AO199" s="117" t="s">
        <v>184</v>
      </c>
      <c r="AP199" s="115">
        <v>4</v>
      </c>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spans="1:72">
      <c r="A200" s="115">
        <v>3</v>
      </c>
      <c r="B200" s="115" t="s">
        <v>227</v>
      </c>
      <c r="C200" s="115" t="s">
        <v>157</v>
      </c>
      <c r="D200" s="115">
        <v>290077840</v>
      </c>
      <c r="E200" s="115" t="s">
        <v>225</v>
      </c>
      <c r="F200" s="115" t="s">
        <v>122</v>
      </c>
      <c r="G200" s="115">
        <v>1</v>
      </c>
      <c r="H200" s="115" t="s">
        <v>155</v>
      </c>
      <c r="I200" s="115" t="s">
        <v>22</v>
      </c>
      <c r="J200" s="115" t="s">
        <v>176</v>
      </c>
      <c r="K200" s="115" t="s">
        <v>177</v>
      </c>
      <c r="L200" s="115" t="s">
        <v>22</v>
      </c>
      <c r="M200" s="115" t="s">
        <v>178</v>
      </c>
      <c r="N200" s="115">
        <v>6</v>
      </c>
      <c r="O200" s="115">
        <v>0</v>
      </c>
      <c r="P200" s="115">
        <v>4</v>
      </c>
      <c r="Q200" s="115">
        <v>0</v>
      </c>
      <c r="R200" s="115">
        <v>0</v>
      </c>
      <c r="S200" s="115" t="s">
        <v>179</v>
      </c>
      <c r="T200" s="115">
        <v>3</v>
      </c>
      <c r="U200" s="115"/>
      <c r="V200" s="115"/>
      <c r="W200" s="115"/>
      <c r="X200" s="115"/>
      <c r="Y200" s="115"/>
      <c r="Z200" s="115"/>
      <c r="AA200" s="115"/>
      <c r="AB200" s="115"/>
      <c r="AC200" s="115"/>
      <c r="AD200" s="115">
        <v>50</v>
      </c>
      <c r="AE200" s="115">
        <v>9.1</v>
      </c>
      <c r="AF200" s="115">
        <v>300</v>
      </c>
      <c r="AG200" s="115">
        <v>7</v>
      </c>
      <c r="AH200" s="115">
        <v>24</v>
      </c>
      <c r="AI200" s="115">
        <v>7</v>
      </c>
      <c r="AJ200" s="115" t="s">
        <v>180</v>
      </c>
      <c r="AK200" s="115">
        <v>21</v>
      </c>
      <c r="AL200" s="115"/>
      <c r="AM200" s="115"/>
      <c r="AN200" s="116"/>
      <c r="AO200" s="117" t="s">
        <v>157</v>
      </c>
      <c r="AP200" s="115">
        <v>1</v>
      </c>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spans="1:72">
      <c r="A201" s="115">
        <v>4</v>
      </c>
      <c r="B201" s="115" t="s">
        <v>227</v>
      </c>
      <c r="C201" s="115" t="s">
        <v>179</v>
      </c>
      <c r="D201" s="115">
        <v>172176256</v>
      </c>
      <c r="E201" s="115" t="s">
        <v>175</v>
      </c>
      <c r="F201" s="115" t="s">
        <v>114</v>
      </c>
      <c r="G201" s="115">
        <v>2</v>
      </c>
      <c r="H201" s="115" t="s">
        <v>155</v>
      </c>
      <c r="I201" s="115" t="s">
        <v>22</v>
      </c>
      <c r="J201" s="115" t="s">
        <v>232</v>
      </c>
      <c r="K201" s="115" t="s">
        <v>189</v>
      </c>
      <c r="L201" s="115"/>
      <c r="M201" s="115"/>
      <c r="N201" s="115">
        <v>4</v>
      </c>
      <c r="O201" s="115">
        <v>0</v>
      </c>
      <c r="P201" s="115">
        <v>3</v>
      </c>
      <c r="Q201" s="115">
        <v>1</v>
      </c>
      <c r="R201" s="115">
        <v>0</v>
      </c>
      <c r="S201" s="115" t="s">
        <v>179</v>
      </c>
      <c r="T201" s="115">
        <v>1</v>
      </c>
      <c r="U201" s="115">
        <v>3</v>
      </c>
      <c r="V201" s="115"/>
      <c r="W201" s="115"/>
      <c r="X201" s="115"/>
      <c r="Y201" s="115"/>
      <c r="Z201" s="115"/>
      <c r="AA201" s="115"/>
      <c r="AB201" s="115"/>
      <c r="AC201" s="115"/>
      <c r="AD201" s="115">
        <v>59</v>
      </c>
      <c r="AE201" s="115">
        <v>19.899999999999999</v>
      </c>
      <c r="AF201" s="115">
        <v>300</v>
      </c>
      <c r="AG201" s="115">
        <v>7</v>
      </c>
      <c r="AH201" s="115">
        <v>24</v>
      </c>
      <c r="AI201" s="115">
        <v>7</v>
      </c>
      <c r="AJ201" s="115" t="s">
        <v>180</v>
      </c>
      <c r="AK201" s="115">
        <v>21</v>
      </c>
      <c r="AL201" s="115"/>
      <c r="AM201" s="115"/>
      <c r="AN201" s="116"/>
      <c r="AO201" s="117" t="s">
        <v>203</v>
      </c>
      <c r="AP201" s="115">
        <v>1</v>
      </c>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spans="1:72">
      <c r="A202" s="115">
        <v>5</v>
      </c>
      <c r="B202" s="115" t="s">
        <v>227</v>
      </c>
      <c r="C202" s="115" t="s">
        <v>179</v>
      </c>
      <c r="D202" s="115">
        <v>172176257</v>
      </c>
      <c r="E202" s="115" t="s">
        <v>175</v>
      </c>
      <c r="F202" s="115" t="s">
        <v>114</v>
      </c>
      <c r="G202" s="115">
        <v>2</v>
      </c>
      <c r="H202" s="115" t="s">
        <v>155</v>
      </c>
      <c r="I202" s="115" t="s">
        <v>22</v>
      </c>
      <c r="J202" s="115" t="s">
        <v>264</v>
      </c>
      <c r="K202" s="115" t="s">
        <v>189</v>
      </c>
      <c r="L202" s="115"/>
      <c r="M202" s="115"/>
      <c r="N202" s="115">
        <v>5</v>
      </c>
      <c r="O202" s="115">
        <v>0</v>
      </c>
      <c r="P202" s="115">
        <v>0</v>
      </c>
      <c r="Q202" s="115">
        <v>0</v>
      </c>
      <c r="R202" s="115">
        <v>3</v>
      </c>
      <c r="S202" s="115" t="s">
        <v>179</v>
      </c>
      <c r="T202" s="115">
        <v>1</v>
      </c>
      <c r="U202" s="115">
        <v>2</v>
      </c>
      <c r="V202" s="115"/>
      <c r="W202" s="115"/>
      <c r="X202" s="115"/>
      <c r="Y202" s="115"/>
      <c r="Z202" s="115"/>
      <c r="AA202" s="115"/>
      <c r="AB202" s="115"/>
      <c r="AC202" s="115"/>
      <c r="AD202" s="115">
        <v>63</v>
      </c>
      <c r="AE202" s="115">
        <v>21.8</v>
      </c>
      <c r="AF202" s="115">
        <v>300</v>
      </c>
      <c r="AG202" s="115">
        <v>7</v>
      </c>
      <c r="AH202" s="115">
        <v>24</v>
      </c>
      <c r="AI202" s="115">
        <v>7</v>
      </c>
      <c r="AJ202" s="115" t="s">
        <v>180</v>
      </c>
      <c r="AK202" s="115">
        <v>8</v>
      </c>
      <c r="AL202" s="115"/>
      <c r="AM202" s="115"/>
      <c r="AN202" s="116"/>
      <c r="AO202" s="117" t="s">
        <v>203</v>
      </c>
      <c r="AP202" s="115">
        <v>1</v>
      </c>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spans="1:72">
      <c r="A203" s="115">
        <v>6</v>
      </c>
      <c r="B203" s="115" t="s">
        <v>227</v>
      </c>
      <c r="C203" s="115" t="s">
        <v>179</v>
      </c>
      <c r="D203" s="115">
        <v>282185240</v>
      </c>
      <c r="E203" s="115" t="s">
        <v>175</v>
      </c>
      <c r="F203" s="115" t="s">
        <v>114</v>
      </c>
      <c r="G203" s="115">
        <v>2</v>
      </c>
      <c r="H203" s="115" t="s">
        <v>155</v>
      </c>
      <c r="I203" s="115" t="s">
        <v>22</v>
      </c>
      <c r="J203" s="115" t="s">
        <v>232</v>
      </c>
      <c r="K203" s="115" t="s">
        <v>189</v>
      </c>
      <c r="L203" s="115"/>
      <c r="M203" s="115"/>
      <c r="N203" s="115">
        <v>5</v>
      </c>
      <c r="O203" s="115">
        <v>0</v>
      </c>
      <c r="P203" s="115">
        <v>0</v>
      </c>
      <c r="Q203" s="115">
        <v>1</v>
      </c>
      <c r="R203" s="115">
        <v>0</v>
      </c>
      <c r="S203" s="115" t="s">
        <v>179</v>
      </c>
      <c r="T203" s="115">
        <v>1</v>
      </c>
      <c r="U203" s="115">
        <v>3</v>
      </c>
      <c r="V203" s="115"/>
      <c r="W203" s="115"/>
      <c r="X203" s="115"/>
      <c r="Y203" s="115"/>
      <c r="Z203" s="115"/>
      <c r="AA203" s="115"/>
      <c r="AB203" s="115"/>
      <c r="AC203" s="115"/>
      <c r="AD203" s="115">
        <v>65</v>
      </c>
      <c r="AE203" s="115">
        <v>22</v>
      </c>
      <c r="AF203" s="115">
        <v>300</v>
      </c>
      <c r="AG203" s="115">
        <v>7</v>
      </c>
      <c r="AH203" s="115">
        <v>24</v>
      </c>
      <c r="AI203" s="115">
        <v>7</v>
      </c>
      <c r="AJ203" s="115" t="s">
        <v>180</v>
      </c>
      <c r="AK203" s="115">
        <v>21</v>
      </c>
      <c r="AL203" s="115"/>
      <c r="AM203" s="115"/>
      <c r="AN203" s="116"/>
      <c r="AO203" s="117" t="s">
        <v>157</v>
      </c>
      <c r="AP203" s="115">
        <v>1</v>
      </c>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spans="1:72">
      <c r="A204" s="115">
        <v>2</v>
      </c>
      <c r="B204" s="115" t="s">
        <v>207</v>
      </c>
      <c r="C204" s="115" t="s">
        <v>179</v>
      </c>
      <c r="D204" s="115">
        <v>172176255</v>
      </c>
      <c r="E204" s="115" t="s">
        <v>175</v>
      </c>
      <c r="F204" s="115" t="s">
        <v>114</v>
      </c>
      <c r="G204" s="115">
        <v>2</v>
      </c>
      <c r="H204" s="115" t="s">
        <v>183</v>
      </c>
      <c r="I204" s="115"/>
      <c r="J204" s="115" t="s">
        <v>232</v>
      </c>
      <c r="K204" s="115" t="s">
        <v>189</v>
      </c>
      <c r="L204" s="115"/>
      <c r="M204" s="115"/>
      <c r="N204" s="115"/>
      <c r="O204" s="115">
        <v>0</v>
      </c>
      <c r="P204" s="115">
        <v>0</v>
      </c>
      <c r="Q204" s="115">
        <v>0</v>
      </c>
      <c r="R204" s="115">
        <v>0</v>
      </c>
      <c r="S204" s="115" t="s">
        <v>179</v>
      </c>
      <c r="T204" s="115">
        <v>1</v>
      </c>
      <c r="U204" s="115">
        <v>3</v>
      </c>
      <c r="V204" s="115" t="s">
        <v>183</v>
      </c>
      <c r="W204" s="115"/>
      <c r="X204" s="115"/>
      <c r="Y204" s="115"/>
      <c r="Z204" s="115" t="s">
        <v>183</v>
      </c>
      <c r="AA204" s="115"/>
      <c r="AB204" s="115" t="s">
        <v>183</v>
      </c>
      <c r="AC204" s="115"/>
      <c r="AD204" s="115">
        <v>66</v>
      </c>
      <c r="AE204" s="115">
        <v>21.8</v>
      </c>
      <c r="AF204" s="115">
        <v>300</v>
      </c>
      <c r="AG204" s="115">
        <v>7</v>
      </c>
      <c r="AH204" s="115">
        <v>24</v>
      </c>
      <c r="AI204" s="115">
        <v>7</v>
      </c>
      <c r="AJ204" s="115" t="s">
        <v>180</v>
      </c>
      <c r="AK204" s="115">
        <v>7</v>
      </c>
      <c r="AL204" s="115"/>
      <c r="AM204" s="115"/>
      <c r="AN204" s="116"/>
      <c r="AO204" s="117" t="s">
        <v>203</v>
      </c>
      <c r="AP204" s="115">
        <v>2</v>
      </c>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spans="1:72">
      <c r="A205" s="115">
        <v>3</v>
      </c>
      <c r="B205" s="115" t="s">
        <v>207</v>
      </c>
      <c r="C205" s="115" t="s">
        <v>179</v>
      </c>
      <c r="D205" s="115">
        <v>172176258</v>
      </c>
      <c r="E205" s="115" t="s">
        <v>175</v>
      </c>
      <c r="F205" s="115" t="s">
        <v>114</v>
      </c>
      <c r="G205" s="115">
        <v>2</v>
      </c>
      <c r="H205" s="115" t="s">
        <v>183</v>
      </c>
      <c r="I205" s="115"/>
      <c r="J205" s="115" t="s">
        <v>232</v>
      </c>
      <c r="K205" s="115" t="s">
        <v>189</v>
      </c>
      <c r="L205" s="115"/>
      <c r="M205" s="115"/>
      <c r="N205" s="115"/>
      <c r="O205" s="115">
        <v>0</v>
      </c>
      <c r="P205" s="115">
        <v>0</v>
      </c>
      <c r="Q205" s="115">
        <v>0</v>
      </c>
      <c r="R205" s="115">
        <v>0</v>
      </c>
      <c r="S205" s="115" t="s">
        <v>179</v>
      </c>
      <c r="T205" s="115">
        <v>2</v>
      </c>
      <c r="U205" s="115">
        <v>3</v>
      </c>
      <c r="V205" s="115" t="s">
        <v>183</v>
      </c>
      <c r="W205" s="115"/>
      <c r="X205" s="115"/>
      <c r="Y205" s="115"/>
      <c r="Z205" s="115"/>
      <c r="AA205" s="115"/>
      <c r="AB205" s="115"/>
      <c r="AC205" s="115"/>
      <c r="AD205" s="115">
        <v>61</v>
      </c>
      <c r="AE205" s="115">
        <v>20</v>
      </c>
      <c r="AF205" s="115">
        <v>300</v>
      </c>
      <c r="AG205" s="115">
        <v>7</v>
      </c>
      <c r="AH205" s="115">
        <v>24</v>
      </c>
      <c r="AI205" s="115">
        <v>7</v>
      </c>
      <c r="AJ205" s="115" t="s">
        <v>180</v>
      </c>
      <c r="AK205" s="115">
        <v>21</v>
      </c>
      <c r="AL205" s="115"/>
      <c r="AM205" s="115"/>
      <c r="AN205" s="116"/>
      <c r="AO205" s="117" t="s">
        <v>203</v>
      </c>
      <c r="AP205" s="115">
        <v>2</v>
      </c>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spans="1:72">
      <c r="A206" s="115">
        <v>4</v>
      </c>
      <c r="B206" s="115" t="s">
        <v>207</v>
      </c>
      <c r="C206" s="115" t="s">
        <v>179</v>
      </c>
      <c r="D206" s="115">
        <v>288029968</v>
      </c>
      <c r="E206" s="115" t="s">
        <v>225</v>
      </c>
      <c r="F206" s="115" t="s">
        <v>122</v>
      </c>
      <c r="G206" s="115">
        <v>2</v>
      </c>
      <c r="H206" s="115" t="s">
        <v>183</v>
      </c>
      <c r="I206" s="115"/>
      <c r="J206" s="115" t="s">
        <v>264</v>
      </c>
      <c r="K206" s="115" t="s">
        <v>189</v>
      </c>
      <c r="L206" s="115"/>
      <c r="M206" s="115"/>
      <c r="N206" s="115"/>
      <c r="O206" s="115">
        <v>0</v>
      </c>
      <c r="P206" s="115">
        <v>0</v>
      </c>
      <c r="Q206" s="115">
        <v>0</v>
      </c>
      <c r="R206" s="115">
        <v>3</v>
      </c>
      <c r="S206" s="115" t="s">
        <v>179</v>
      </c>
      <c r="T206" s="115">
        <v>1</v>
      </c>
      <c r="U206" s="115">
        <v>3</v>
      </c>
      <c r="V206" s="115" t="s">
        <v>183</v>
      </c>
      <c r="W206" s="115" t="s">
        <v>183</v>
      </c>
      <c r="X206" s="115"/>
      <c r="Y206" s="115"/>
      <c r="Z206" s="115" t="s">
        <v>183</v>
      </c>
      <c r="AA206" s="115"/>
      <c r="AB206" s="115"/>
      <c r="AC206" s="115"/>
      <c r="AD206" s="115">
        <v>55</v>
      </c>
      <c r="AE206" s="115">
        <v>9.6</v>
      </c>
      <c r="AF206" s="115">
        <v>300</v>
      </c>
      <c r="AG206" s="115">
        <v>7</v>
      </c>
      <c r="AH206" s="115">
        <v>24</v>
      </c>
      <c r="AI206" s="115">
        <v>7</v>
      </c>
      <c r="AJ206" s="115" t="s">
        <v>180</v>
      </c>
      <c r="AK206" s="115">
        <v>21</v>
      </c>
      <c r="AL206" s="115"/>
      <c r="AM206" s="115"/>
      <c r="AN206" s="116"/>
      <c r="AO206" s="117">
        <v>0</v>
      </c>
      <c r="AP206" s="115">
        <v>2</v>
      </c>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spans="1:72">
      <c r="A207" s="115">
        <v>2</v>
      </c>
      <c r="B207" s="115" t="s">
        <v>216</v>
      </c>
      <c r="C207" s="115" t="s">
        <v>179</v>
      </c>
      <c r="D207" s="115">
        <v>281191246</v>
      </c>
      <c r="E207" s="115" t="s">
        <v>229</v>
      </c>
      <c r="F207" s="115" t="s">
        <v>95</v>
      </c>
      <c r="G207" s="115">
        <v>2</v>
      </c>
      <c r="H207" s="115" t="s">
        <v>22</v>
      </c>
      <c r="I207" s="115"/>
      <c r="J207" s="115" t="s">
        <v>232</v>
      </c>
      <c r="K207" s="115" t="s">
        <v>189</v>
      </c>
      <c r="L207" s="115"/>
      <c r="M207" s="115"/>
      <c r="N207" s="115">
        <v>3</v>
      </c>
      <c r="O207" s="115">
        <v>0</v>
      </c>
      <c r="P207" s="115">
        <v>0</v>
      </c>
      <c r="Q207" s="115">
        <v>1</v>
      </c>
      <c r="R207" s="115">
        <v>0</v>
      </c>
      <c r="S207" s="115" t="s">
        <v>179</v>
      </c>
      <c r="T207" s="115">
        <v>2</v>
      </c>
      <c r="U207" s="115">
        <v>3</v>
      </c>
      <c r="V207" s="115"/>
      <c r="W207" s="115"/>
      <c r="X207" s="115"/>
      <c r="Y207" s="115"/>
      <c r="Z207" s="115" t="s">
        <v>183</v>
      </c>
      <c r="AA207" s="115"/>
      <c r="AB207" s="115"/>
      <c r="AC207" s="115"/>
      <c r="AD207" s="115">
        <v>51</v>
      </c>
      <c r="AE207" s="115">
        <v>11.8</v>
      </c>
      <c r="AF207" s="115">
        <v>300</v>
      </c>
      <c r="AG207" s="115">
        <v>7</v>
      </c>
      <c r="AH207" s="115">
        <v>24</v>
      </c>
      <c r="AI207" s="115">
        <v>7</v>
      </c>
      <c r="AJ207" s="115" t="s">
        <v>180</v>
      </c>
      <c r="AK207" s="115">
        <v>5</v>
      </c>
      <c r="AL207" s="115"/>
      <c r="AM207" s="115"/>
      <c r="AN207" s="116"/>
      <c r="AO207" s="117">
        <v>1</v>
      </c>
      <c r="AP207" s="115">
        <v>3</v>
      </c>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spans="1:72">
      <c r="A208" s="115">
        <v>7</v>
      </c>
      <c r="B208" s="115" t="s">
        <v>207</v>
      </c>
      <c r="C208" s="115" t="s">
        <v>179</v>
      </c>
      <c r="D208" s="115">
        <v>281191247</v>
      </c>
      <c r="E208" s="115" t="s">
        <v>204</v>
      </c>
      <c r="F208" s="115" t="s">
        <v>88</v>
      </c>
      <c r="G208" s="115">
        <v>2</v>
      </c>
      <c r="H208" s="115" t="s">
        <v>183</v>
      </c>
      <c r="I208" s="115"/>
      <c r="J208" s="115" t="s">
        <v>232</v>
      </c>
      <c r="K208" s="115" t="s">
        <v>189</v>
      </c>
      <c r="L208" s="115"/>
      <c r="M208" s="115"/>
      <c r="N208" s="115">
        <v>3</v>
      </c>
      <c r="O208" s="115">
        <v>0</v>
      </c>
      <c r="P208" s="115">
        <v>0</v>
      </c>
      <c r="Q208" s="115">
        <v>0</v>
      </c>
      <c r="R208" s="115">
        <v>0</v>
      </c>
      <c r="S208" s="115" t="s">
        <v>179</v>
      </c>
      <c r="T208" s="115">
        <v>1</v>
      </c>
      <c r="U208" s="115">
        <v>3</v>
      </c>
      <c r="V208" s="115"/>
      <c r="W208" s="115"/>
      <c r="X208" s="115"/>
      <c r="Y208" s="115"/>
      <c r="Z208" s="115"/>
      <c r="AA208" s="115"/>
      <c r="AB208" s="115"/>
      <c r="AC208" s="115"/>
      <c r="AD208" s="115">
        <v>59</v>
      </c>
      <c r="AE208" s="115"/>
      <c r="AF208" s="115">
        <v>300</v>
      </c>
      <c r="AG208" s="115">
        <v>7</v>
      </c>
      <c r="AH208" s="115">
        <v>24</v>
      </c>
      <c r="AI208" s="115">
        <v>8</v>
      </c>
      <c r="AJ208" s="115" t="s">
        <v>180</v>
      </c>
      <c r="AK208" s="115">
        <v>5</v>
      </c>
      <c r="AL208" s="115"/>
      <c r="AM208" s="115">
        <v>3</v>
      </c>
      <c r="AN208" s="116" t="s">
        <v>334</v>
      </c>
      <c r="AO208" s="117">
        <v>1</v>
      </c>
      <c r="AP208" s="115">
        <v>2</v>
      </c>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spans="1:72">
      <c r="A209" s="115">
        <v>1</v>
      </c>
      <c r="B209" s="115" t="s">
        <v>227</v>
      </c>
      <c r="C209" s="115" t="s">
        <v>179</v>
      </c>
      <c r="D209" s="115">
        <v>172176253</v>
      </c>
      <c r="E209" s="115" t="s">
        <v>175</v>
      </c>
      <c r="F209" s="115" t="s">
        <v>114</v>
      </c>
      <c r="G209" s="115">
        <v>2</v>
      </c>
      <c r="H209" s="115" t="s">
        <v>155</v>
      </c>
      <c r="I209" s="115" t="s">
        <v>22</v>
      </c>
      <c r="J209" s="115" t="s">
        <v>232</v>
      </c>
      <c r="K209" s="115" t="s">
        <v>189</v>
      </c>
      <c r="L209" s="115"/>
      <c r="M209" s="115"/>
      <c r="N209" s="115">
        <v>4</v>
      </c>
      <c r="O209" s="115">
        <v>0</v>
      </c>
      <c r="P209" s="115">
        <v>0</v>
      </c>
      <c r="Q209" s="115">
        <v>0</v>
      </c>
      <c r="R209" s="115">
        <v>0</v>
      </c>
      <c r="S209" s="115" t="s">
        <v>179</v>
      </c>
      <c r="T209" s="115">
        <v>1</v>
      </c>
      <c r="U209" s="115">
        <v>3</v>
      </c>
      <c r="V209" s="115"/>
      <c r="W209" s="115"/>
      <c r="X209" s="115"/>
      <c r="Y209" s="115"/>
      <c r="Z209" s="115"/>
      <c r="AA209" s="115"/>
      <c r="AB209" s="115"/>
      <c r="AC209" s="115"/>
      <c r="AD209" s="115">
        <v>65</v>
      </c>
      <c r="AE209" s="115">
        <v>22.2</v>
      </c>
      <c r="AF209" s="115">
        <v>300</v>
      </c>
      <c r="AG209" s="115">
        <v>7</v>
      </c>
      <c r="AH209" s="115">
        <v>24</v>
      </c>
      <c r="AI209" s="115">
        <v>620</v>
      </c>
      <c r="AJ209" s="115" t="s">
        <v>180</v>
      </c>
      <c r="AK209" s="115">
        <v>21</v>
      </c>
      <c r="AL209" s="115"/>
      <c r="AM209" s="115"/>
      <c r="AN209" s="116"/>
      <c r="AO209" s="118" t="s">
        <v>203</v>
      </c>
      <c r="AP209" s="115">
        <v>1</v>
      </c>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spans="1:72">
      <c r="A210" s="115">
        <v>2</v>
      </c>
      <c r="B210" s="115" t="s">
        <v>227</v>
      </c>
      <c r="C210" s="115" t="s">
        <v>179</v>
      </c>
      <c r="D210" s="115">
        <v>283105290</v>
      </c>
      <c r="E210" s="115" t="s">
        <v>194</v>
      </c>
      <c r="F210" s="115" t="s">
        <v>98</v>
      </c>
      <c r="G210" s="115">
        <v>1</v>
      </c>
      <c r="H210" s="115" t="s">
        <v>155</v>
      </c>
      <c r="I210" s="115" t="s">
        <v>22</v>
      </c>
      <c r="J210" s="115" t="s">
        <v>176</v>
      </c>
      <c r="K210" s="115" t="s">
        <v>177</v>
      </c>
      <c r="L210" s="115" t="s">
        <v>178</v>
      </c>
      <c r="M210" s="115" t="s">
        <v>22</v>
      </c>
      <c r="N210" s="115">
        <v>5</v>
      </c>
      <c r="O210" s="115">
        <v>0</v>
      </c>
      <c r="P210" s="115">
        <v>0</v>
      </c>
      <c r="Q210" s="115">
        <v>0</v>
      </c>
      <c r="R210" s="115">
        <v>0</v>
      </c>
      <c r="S210" s="115" t="s">
        <v>179</v>
      </c>
      <c r="T210" s="115">
        <v>3</v>
      </c>
      <c r="U210" s="115"/>
      <c r="V210" s="115"/>
      <c r="W210" s="115"/>
      <c r="X210" s="115"/>
      <c r="Y210" s="115"/>
      <c r="Z210" s="115"/>
      <c r="AA210" s="115"/>
      <c r="AB210" s="115"/>
      <c r="AC210" s="115"/>
      <c r="AD210" s="115">
        <v>91</v>
      </c>
      <c r="AE210" s="115">
        <v>28.8</v>
      </c>
      <c r="AF210" s="115">
        <v>300</v>
      </c>
      <c r="AG210" s="115">
        <v>7</v>
      </c>
      <c r="AH210" s="115">
        <v>24</v>
      </c>
      <c r="AI210" s="115">
        <v>620</v>
      </c>
      <c r="AJ210" s="115" t="s">
        <v>180</v>
      </c>
      <c r="AK210" s="115">
        <v>3</v>
      </c>
      <c r="AL210" s="115"/>
      <c r="AM210" s="115">
        <v>1</v>
      </c>
      <c r="AN210" s="116" t="s">
        <v>328</v>
      </c>
      <c r="AO210" s="117" t="s">
        <v>157</v>
      </c>
      <c r="AP210" s="115">
        <v>1</v>
      </c>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spans="1:72">
      <c r="A211" s="115">
        <v>1</v>
      </c>
      <c r="B211" s="115" t="s">
        <v>207</v>
      </c>
      <c r="C211" s="115" t="s">
        <v>179</v>
      </c>
      <c r="D211" s="115">
        <v>135291878</v>
      </c>
      <c r="E211" s="115" t="s">
        <v>181</v>
      </c>
      <c r="F211" s="115" t="s">
        <v>115</v>
      </c>
      <c r="G211" s="115">
        <v>2</v>
      </c>
      <c r="H211" s="115" t="s">
        <v>183</v>
      </c>
      <c r="I211" s="115"/>
      <c r="J211" s="115" t="s">
        <v>232</v>
      </c>
      <c r="K211" s="115" t="s">
        <v>189</v>
      </c>
      <c r="L211" s="115"/>
      <c r="M211" s="115"/>
      <c r="N211" s="115"/>
      <c r="O211" s="115">
        <v>0</v>
      </c>
      <c r="P211" s="115">
        <v>0</v>
      </c>
      <c r="Q211" s="115">
        <v>1</v>
      </c>
      <c r="R211" s="115">
        <v>0</v>
      </c>
      <c r="S211" s="115" t="s">
        <v>179</v>
      </c>
      <c r="T211" s="115">
        <v>1</v>
      </c>
      <c r="U211" s="115">
        <v>3</v>
      </c>
      <c r="V211" s="115" t="s">
        <v>183</v>
      </c>
      <c r="W211" s="115"/>
      <c r="X211" s="115"/>
      <c r="Y211" s="115"/>
      <c r="Z211" s="115"/>
      <c r="AA211" s="115"/>
      <c r="AB211" s="115" t="s">
        <v>183</v>
      </c>
      <c r="AC211" s="115"/>
      <c r="AD211" s="115">
        <v>82</v>
      </c>
      <c r="AE211" s="115">
        <v>38.9</v>
      </c>
      <c r="AF211" s="115">
        <v>300</v>
      </c>
      <c r="AG211" s="115">
        <v>7</v>
      </c>
      <c r="AH211" s="115">
        <v>24</v>
      </c>
      <c r="AI211" s="115">
        <v>620</v>
      </c>
      <c r="AJ211" s="115" t="s">
        <v>180</v>
      </c>
      <c r="AK211" s="115">
        <v>15</v>
      </c>
      <c r="AL211" s="115"/>
      <c r="AM211" s="115">
        <v>1</v>
      </c>
      <c r="AN211" s="116" t="s">
        <v>332</v>
      </c>
      <c r="AO211" s="117">
        <v>2</v>
      </c>
      <c r="AP211" s="115">
        <v>2</v>
      </c>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spans="1:72">
      <c r="A212" s="115">
        <v>1</v>
      </c>
      <c r="B212" s="115" t="s">
        <v>216</v>
      </c>
      <c r="C212" s="115" t="s">
        <v>179</v>
      </c>
      <c r="D212" s="115">
        <v>172176254</v>
      </c>
      <c r="E212" s="115" t="s">
        <v>194</v>
      </c>
      <c r="F212" s="115" t="s">
        <v>98</v>
      </c>
      <c r="G212" s="115">
        <v>2</v>
      </c>
      <c r="H212" s="115" t="s">
        <v>22</v>
      </c>
      <c r="I212" s="115"/>
      <c r="J212" s="115" t="s">
        <v>232</v>
      </c>
      <c r="K212" s="115" t="s">
        <v>189</v>
      </c>
      <c r="L212" s="115"/>
      <c r="M212" s="115"/>
      <c r="N212" s="115">
        <v>2</v>
      </c>
      <c r="O212" s="115">
        <v>0</v>
      </c>
      <c r="P212" s="115">
        <v>0</v>
      </c>
      <c r="Q212" s="115">
        <v>0</v>
      </c>
      <c r="R212" s="115">
        <v>2</v>
      </c>
      <c r="S212" s="115" t="s">
        <v>179</v>
      </c>
      <c r="T212" s="115">
        <v>1</v>
      </c>
      <c r="U212" s="115">
        <v>2</v>
      </c>
      <c r="V212" s="115"/>
      <c r="W212" s="115"/>
      <c r="X212" s="115"/>
      <c r="Y212" s="115"/>
      <c r="Z212" s="115"/>
      <c r="AA212" s="115"/>
      <c r="AB212" s="115"/>
      <c r="AC212" s="115"/>
      <c r="AD212" s="115">
        <v>88</v>
      </c>
      <c r="AE212" s="115">
        <v>27.6</v>
      </c>
      <c r="AF212" s="115">
        <v>300</v>
      </c>
      <c r="AG212" s="115">
        <v>7</v>
      </c>
      <c r="AH212" s="115">
        <v>24</v>
      </c>
      <c r="AI212" s="115">
        <v>620</v>
      </c>
      <c r="AJ212" s="115" t="s">
        <v>180</v>
      </c>
      <c r="AK212" s="115">
        <v>15</v>
      </c>
      <c r="AL212" s="115"/>
      <c r="AM212" s="115"/>
      <c r="AN212" s="116"/>
      <c r="AO212" s="117" t="s">
        <v>203</v>
      </c>
      <c r="AP212" s="115">
        <v>3</v>
      </c>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spans="1:72">
      <c r="A213" s="115">
        <v>7</v>
      </c>
      <c r="B213" s="115" t="s">
        <v>227</v>
      </c>
      <c r="C213" s="115" t="s">
        <v>179</v>
      </c>
      <c r="D213" s="115">
        <v>172176259</v>
      </c>
      <c r="E213" s="115" t="s">
        <v>175</v>
      </c>
      <c r="F213" s="115" t="s">
        <v>114</v>
      </c>
      <c r="G213" s="115">
        <v>2</v>
      </c>
      <c r="H213" s="115" t="s">
        <v>155</v>
      </c>
      <c r="I213" s="115" t="s">
        <v>22</v>
      </c>
      <c r="J213" s="115" t="s">
        <v>232</v>
      </c>
      <c r="K213" s="115" t="s">
        <v>189</v>
      </c>
      <c r="L213" s="115"/>
      <c r="M213" s="115"/>
      <c r="N213" s="115">
        <v>4</v>
      </c>
      <c r="O213" s="115">
        <v>0</v>
      </c>
      <c r="P213" s="115">
        <v>0</v>
      </c>
      <c r="Q213" s="115">
        <v>0</v>
      </c>
      <c r="R213" s="115">
        <v>0</v>
      </c>
      <c r="S213" s="115" t="s">
        <v>179</v>
      </c>
      <c r="T213" s="115">
        <v>1</v>
      </c>
      <c r="U213" s="115">
        <v>3</v>
      </c>
      <c r="V213" s="115"/>
      <c r="W213" s="115"/>
      <c r="X213" s="115"/>
      <c r="Y213" s="115"/>
      <c r="Z213" s="115"/>
      <c r="AA213" s="115"/>
      <c r="AB213" s="115"/>
      <c r="AC213" s="115"/>
      <c r="AD213" s="115">
        <v>64</v>
      </c>
      <c r="AE213" s="115">
        <v>20.5</v>
      </c>
      <c r="AF213" s="115">
        <v>300</v>
      </c>
      <c r="AG213" s="115">
        <v>7</v>
      </c>
      <c r="AH213" s="115">
        <v>24</v>
      </c>
      <c r="AI213" s="115">
        <v>740</v>
      </c>
      <c r="AJ213" s="115" t="s">
        <v>180</v>
      </c>
      <c r="AK213" s="115">
        <v>7</v>
      </c>
      <c r="AL213" s="115"/>
      <c r="AM213" s="115"/>
      <c r="AN213" s="116"/>
      <c r="AO213" s="117" t="s">
        <v>203</v>
      </c>
      <c r="AP213" s="115">
        <v>1</v>
      </c>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spans="1:72">
      <c r="A214" s="115">
        <v>8</v>
      </c>
      <c r="B214" s="115" t="s">
        <v>227</v>
      </c>
      <c r="C214" s="115" t="s">
        <v>179</v>
      </c>
      <c r="D214" s="115">
        <v>172176260</v>
      </c>
      <c r="E214" s="115" t="s">
        <v>175</v>
      </c>
      <c r="F214" s="115" t="s">
        <v>114</v>
      </c>
      <c r="G214" s="115">
        <v>1</v>
      </c>
      <c r="H214" s="115" t="s">
        <v>155</v>
      </c>
      <c r="I214" s="115" t="s">
        <v>22</v>
      </c>
      <c r="J214" s="115" t="s">
        <v>176</v>
      </c>
      <c r="K214" s="115" t="s">
        <v>177</v>
      </c>
      <c r="L214" s="115" t="s">
        <v>178</v>
      </c>
      <c r="M214" s="115" t="s">
        <v>22</v>
      </c>
      <c r="N214" s="115">
        <v>6</v>
      </c>
      <c r="O214" s="115">
        <v>0</v>
      </c>
      <c r="P214" s="115">
        <v>4</v>
      </c>
      <c r="Q214" s="115">
        <v>1</v>
      </c>
      <c r="R214" s="115">
        <v>1</v>
      </c>
      <c r="S214" s="115" t="s">
        <v>179</v>
      </c>
      <c r="T214" s="115">
        <v>3</v>
      </c>
      <c r="U214" s="115"/>
      <c r="V214" s="115"/>
      <c r="W214" s="115"/>
      <c r="X214" s="115"/>
      <c r="Y214" s="115"/>
      <c r="Z214" s="115"/>
      <c r="AA214" s="115"/>
      <c r="AB214" s="115"/>
      <c r="AC214" s="115"/>
      <c r="AD214" s="115">
        <v>64</v>
      </c>
      <c r="AE214" s="115">
        <v>24.5</v>
      </c>
      <c r="AF214" s="115">
        <v>300</v>
      </c>
      <c r="AG214" s="115">
        <v>7</v>
      </c>
      <c r="AH214" s="115">
        <v>24</v>
      </c>
      <c r="AI214" s="115">
        <v>740</v>
      </c>
      <c r="AJ214" s="115" t="s">
        <v>180</v>
      </c>
      <c r="AK214" s="115">
        <v>20</v>
      </c>
      <c r="AL214" s="115"/>
      <c r="AM214" s="115"/>
      <c r="AN214" s="116"/>
      <c r="AO214" s="117" t="s">
        <v>203</v>
      </c>
      <c r="AP214" s="115">
        <v>1</v>
      </c>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spans="1:72">
      <c r="A215" s="115">
        <v>5</v>
      </c>
      <c r="B215" s="115" t="s">
        <v>207</v>
      </c>
      <c r="C215" s="115" t="s">
        <v>157</v>
      </c>
      <c r="D215" s="115">
        <v>284111513</v>
      </c>
      <c r="E215" s="115" t="s">
        <v>181</v>
      </c>
      <c r="F215" s="115" t="s">
        <v>115</v>
      </c>
      <c r="G215" s="115">
        <v>6</v>
      </c>
      <c r="H215" s="115" t="s">
        <v>22</v>
      </c>
      <c r="I215" s="115"/>
      <c r="J215" s="115" t="s">
        <v>188</v>
      </c>
      <c r="K215" s="115" t="s">
        <v>177</v>
      </c>
      <c r="L215" s="115" t="s">
        <v>178</v>
      </c>
      <c r="M215" s="115"/>
      <c r="N215" s="115"/>
      <c r="O215" s="115">
        <v>0</v>
      </c>
      <c r="P215" s="115">
        <v>3</v>
      </c>
      <c r="Q215" s="115">
        <v>0</v>
      </c>
      <c r="R215" s="115">
        <v>0</v>
      </c>
      <c r="S215" s="115" t="s">
        <v>179</v>
      </c>
      <c r="T215" s="115">
        <v>3</v>
      </c>
      <c r="U215" s="115">
        <v>0</v>
      </c>
      <c r="V215" s="115" t="s">
        <v>178</v>
      </c>
      <c r="W215" s="115"/>
      <c r="X215" s="115"/>
      <c r="Y215" s="115"/>
      <c r="Z215" s="115"/>
      <c r="AA215" s="115"/>
      <c r="AB215" s="115"/>
      <c r="AC215" s="115"/>
      <c r="AD215" s="115">
        <v>79</v>
      </c>
      <c r="AE215" s="115">
        <v>32.200000000000003</v>
      </c>
      <c r="AF215" s="115">
        <v>300</v>
      </c>
      <c r="AG215" s="115">
        <v>7</v>
      </c>
      <c r="AH215" s="115">
        <v>24</v>
      </c>
      <c r="AI215" s="115">
        <v>740</v>
      </c>
      <c r="AJ215" s="115" t="s">
        <v>180</v>
      </c>
      <c r="AK215" s="115">
        <v>6</v>
      </c>
      <c r="AL215" s="115"/>
      <c r="AM215" s="115">
        <v>2</v>
      </c>
      <c r="AN215" s="116" t="s">
        <v>333</v>
      </c>
      <c r="AO215" s="117" t="s">
        <v>157</v>
      </c>
      <c r="AP215" s="115">
        <v>2</v>
      </c>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spans="1:72">
      <c r="A216" s="115">
        <v>6</v>
      </c>
      <c r="B216" s="115" t="s">
        <v>207</v>
      </c>
      <c r="C216" s="115" t="s">
        <v>157</v>
      </c>
      <c r="D216" s="115">
        <v>281191236</v>
      </c>
      <c r="E216" s="115" t="s">
        <v>206</v>
      </c>
      <c r="F216" s="115" t="s">
        <v>105</v>
      </c>
      <c r="G216" s="115">
        <v>6</v>
      </c>
      <c r="H216" s="115" t="s">
        <v>22</v>
      </c>
      <c r="I216" s="115"/>
      <c r="J216" s="115" t="s">
        <v>188</v>
      </c>
      <c r="K216" s="115" t="s">
        <v>177</v>
      </c>
      <c r="L216" s="115" t="s">
        <v>178</v>
      </c>
      <c r="M216" s="115" t="s">
        <v>22</v>
      </c>
      <c r="N216" s="115"/>
      <c r="O216" s="115">
        <v>0</v>
      </c>
      <c r="P216" s="115">
        <v>3</v>
      </c>
      <c r="Q216" s="115">
        <v>1</v>
      </c>
      <c r="R216" s="115">
        <v>0</v>
      </c>
      <c r="S216" s="115" t="s">
        <v>179</v>
      </c>
      <c r="T216" s="115">
        <v>3</v>
      </c>
      <c r="U216" s="115"/>
      <c r="V216" s="115" t="s">
        <v>178</v>
      </c>
      <c r="W216" s="115" t="s">
        <v>178</v>
      </c>
      <c r="X216" s="115"/>
      <c r="Y216" s="115"/>
      <c r="Z216" s="115"/>
      <c r="AA216" s="115" t="s">
        <v>178</v>
      </c>
      <c r="AB216" s="115"/>
      <c r="AC216" s="115"/>
      <c r="AD216" s="115">
        <v>78</v>
      </c>
      <c r="AE216" s="115">
        <v>22.8</v>
      </c>
      <c r="AF216" s="115">
        <v>300</v>
      </c>
      <c r="AG216" s="115">
        <v>7</v>
      </c>
      <c r="AH216" s="115">
        <v>24</v>
      </c>
      <c r="AI216" s="115">
        <v>740</v>
      </c>
      <c r="AJ216" s="115" t="s">
        <v>180</v>
      </c>
      <c r="AK216" s="115">
        <v>14</v>
      </c>
      <c r="AL216" s="115"/>
      <c r="AM216" s="115"/>
      <c r="AN216" s="116"/>
      <c r="AO216" s="117" t="s">
        <v>157</v>
      </c>
      <c r="AP216" s="115">
        <v>2</v>
      </c>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spans="1:72">
      <c r="A217" s="115">
        <v>3</v>
      </c>
      <c r="B217" s="115" t="s">
        <v>216</v>
      </c>
      <c r="C217" s="115" t="s">
        <v>157</v>
      </c>
      <c r="D217" s="115">
        <v>804191913</v>
      </c>
      <c r="E217" s="115" t="s">
        <v>181</v>
      </c>
      <c r="F217" s="115" t="s">
        <v>115</v>
      </c>
      <c r="G217" s="115">
        <v>1</v>
      </c>
      <c r="H217" s="115" t="s">
        <v>22</v>
      </c>
      <c r="I217" s="115"/>
      <c r="J217" s="115" t="s">
        <v>278</v>
      </c>
      <c r="K217" s="115" t="s">
        <v>177</v>
      </c>
      <c r="L217" s="115" t="s">
        <v>1</v>
      </c>
      <c r="M217" s="115" t="s">
        <v>22</v>
      </c>
      <c r="N217" s="115"/>
      <c r="O217" s="115">
        <v>0</v>
      </c>
      <c r="P217" s="115">
        <v>1</v>
      </c>
      <c r="Q217" s="115">
        <v>0</v>
      </c>
      <c r="R217" s="115">
        <v>0</v>
      </c>
      <c r="S217" s="115" t="s">
        <v>179</v>
      </c>
      <c r="T217" s="115">
        <v>4</v>
      </c>
      <c r="U217" s="115"/>
      <c r="V217" s="115"/>
      <c r="W217" s="115"/>
      <c r="X217" s="115"/>
      <c r="Y217" s="115"/>
      <c r="Z217" s="115" t="s">
        <v>183</v>
      </c>
      <c r="AA217" s="115"/>
      <c r="AB217" s="115"/>
      <c r="AC217" s="115"/>
      <c r="AD217" s="115">
        <v>84</v>
      </c>
      <c r="AE217" s="115"/>
      <c r="AF217" s="115">
        <v>300</v>
      </c>
      <c r="AG217" s="115">
        <v>7</v>
      </c>
      <c r="AH217" s="115">
        <v>24</v>
      </c>
      <c r="AI217" s="115">
        <v>740</v>
      </c>
      <c r="AJ217" s="115" t="s">
        <v>180</v>
      </c>
      <c r="AK217" s="115">
        <v>14</v>
      </c>
      <c r="AL217" s="115"/>
      <c r="AM217" s="115">
        <v>1</v>
      </c>
      <c r="AN217" s="116" t="s">
        <v>336</v>
      </c>
      <c r="AO217" s="117" t="s">
        <v>157</v>
      </c>
      <c r="AP217" s="115">
        <v>3</v>
      </c>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spans="1:72">
      <c r="A218" s="115">
        <v>9</v>
      </c>
      <c r="B218" s="115" t="s">
        <v>227</v>
      </c>
      <c r="C218" s="115" t="s">
        <v>179</v>
      </c>
      <c r="D218" s="115">
        <v>288029969</v>
      </c>
      <c r="E218" s="115" t="s">
        <v>225</v>
      </c>
      <c r="F218" s="115" t="s">
        <v>122</v>
      </c>
      <c r="G218" s="115">
        <v>2</v>
      </c>
      <c r="H218" s="115" t="s">
        <v>155</v>
      </c>
      <c r="I218" s="115" t="s">
        <v>220</v>
      </c>
      <c r="J218" s="115" t="s">
        <v>232</v>
      </c>
      <c r="K218" s="115" t="s">
        <v>177</v>
      </c>
      <c r="L218" s="115" t="s">
        <v>22</v>
      </c>
      <c r="M218" s="115"/>
      <c r="N218" s="115">
        <v>3</v>
      </c>
      <c r="O218" s="115">
        <v>0</v>
      </c>
      <c r="P218" s="115">
        <v>0</v>
      </c>
      <c r="Q218" s="115">
        <v>1</v>
      </c>
      <c r="R218" s="115">
        <v>1</v>
      </c>
      <c r="S218" s="115" t="s">
        <v>179</v>
      </c>
      <c r="T218" s="115">
        <v>1</v>
      </c>
      <c r="U218" s="115">
        <v>3</v>
      </c>
      <c r="V218" s="115"/>
      <c r="W218" s="115"/>
      <c r="X218" s="115"/>
      <c r="Y218" s="115"/>
      <c r="Z218" s="115"/>
      <c r="AA218" s="115"/>
      <c r="AB218" s="115"/>
      <c r="AC218" s="115"/>
      <c r="AD218" s="115">
        <v>51</v>
      </c>
      <c r="AE218" s="115">
        <v>9.8000000000000007</v>
      </c>
      <c r="AF218" s="115">
        <v>300</v>
      </c>
      <c r="AG218" s="115">
        <v>7</v>
      </c>
      <c r="AH218" s="115">
        <v>24</v>
      </c>
      <c r="AI218" s="115">
        <v>810</v>
      </c>
      <c r="AJ218" s="115" t="s">
        <v>180</v>
      </c>
      <c r="AK218" s="115">
        <v>21</v>
      </c>
      <c r="AL218" s="115"/>
      <c r="AM218" s="115"/>
      <c r="AN218" s="116"/>
      <c r="AO218" s="117">
        <v>0</v>
      </c>
      <c r="AP218" s="115">
        <v>1</v>
      </c>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spans="1:72">
      <c r="A219" s="115">
        <v>10</v>
      </c>
      <c r="B219" s="115" t="s">
        <v>227</v>
      </c>
      <c r="C219" s="115" t="s">
        <v>179</v>
      </c>
      <c r="D219" s="115">
        <v>172176261</v>
      </c>
      <c r="E219" s="115" t="s">
        <v>194</v>
      </c>
      <c r="F219" s="115" t="s">
        <v>98</v>
      </c>
      <c r="G219" s="115">
        <v>2</v>
      </c>
      <c r="H219" s="115" t="s">
        <v>22</v>
      </c>
      <c r="I219" s="115" t="s">
        <v>155</v>
      </c>
      <c r="J219" s="115" t="s">
        <v>264</v>
      </c>
      <c r="K219" s="115" t="s">
        <v>189</v>
      </c>
      <c r="L219" s="115"/>
      <c r="M219" s="115"/>
      <c r="N219" s="115">
        <v>3</v>
      </c>
      <c r="O219" s="115">
        <v>0</v>
      </c>
      <c r="P219" s="115">
        <v>0</v>
      </c>
      <c r="Q219" s="115">
        <v>0</v>
      </c>
      <c r="R219" s="115">
        <v>3</v>
      </c>
      <c r="S219" s="115" t="s">
        <v>179</v>
      </c>
      <c r="T219" s="115">
        <v>1</v>
      </c>
      <c r="U219" s="115">
        <v>2</v>
      </c>
      <c r="V219" s="115"/>
      <c r="W219" s="115"/>
      <c r="X219" s="115"/>
      <c r="Y219" s="115"/>
      <c r="Z219" s="115"/>
      <c r="AA219" s="115"/>
      <c r="AB219" s="115"/>
      <c r="AC219" s="115"/>
      <c r="AD219" s="115">
        <v>96</v>
      </c>
      <c r="AE219" s="115">
        <v>32</v>
      </c>
      <c r="AF219" s="115">
        <v>300</v>
      </c>
      <c r="AG219" s="115">
        <v>7</v>
      </c>
      <c r="AH219" s="115">
        <v>24</v>
      </c>
      <c r="AI219" s="115">
        <v>810</v>
      </c>
      <c r="AJ219" s="115" t="s">
        <v>180</v>
      </c>
      <c r="AK219" s="115">
        <v>21</v>
      </c>
      <c r="AL219" s="115"/>
      <c r="AM219" s="115"/>
      <c r="AN219" s="116"/>
      <c r="AO219" s="117" t="s">
        <v>203</v>
      </c>
      <c r="AP219" s="115">
        <v>1</v>
      </c>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spans="1:72">
      <c r="A220" s="115">
        <v>4</v>
      </c>
      <c r="B220" s="115" t="s">
        <v>216</v>
      </c>
      <c r="C220" s="115" t="s">
        <v>179</v>
      </c>
      <c r="D220" s="115">
        <v>288029970</v>
      </c>
      <c r="E220" s="115" t="s">
        <v>225</v>
      </c>
      <c r="F220" s="115" t="s">
        <v>122</v>
      </c>
      <c r="G220" s="115">
        <v>2</v>
      </c>
      <c r="H220" s="115" t="s">
        <v>22</v>
      </c>
      <c r="I220" s="115"/>
      <c r="J220" s="115" t="s">
        <v>232</v>
      </c>
      <c r="K220" s="115" t="s">
        <v>189</v>
      </c>
      <c r="L220" s="115"/>
      <c r="M220" s="115"/>
      <c r="N220" s="115">
        <v>1</v>
      </c>
      <c r="O220" s="115">
        <v>0</v>
      </c>
      <c r="P220" s="115">
        <v>0</v>
      </c>
      <c r="Q220" s="115">
        <v>3</v>
      </c>
      <c r="R220" s="115">
        <v>0</v>
      </c>
      <c r="S220" s="115" t="s">
        <v>179</v>
      </c>
      <c r="T220" s="115">
        <v>0</v>
      </c>
      <c r="U220" s="115">
        <v>3</v>
      </c>
      <c r="V220" s="115"/>
      <c r="W220" s="115"/>
      <c r="X220" s="115" t="s">
        <v>183</v>
      </c>
      <c r="Y220" s="115"/>
      <c r="Z220" s="115"/>
      <c r="AA220" s="115" t="s">
        <v>183</v>
      </c>
      <c r="AB220" s="115" t="s">
        <v>183</v>
      </c>
      <c r="AC220" s="115"/>
      <c r="AD220" s="115">
        <v>48</v>
      </c>
      <c r="AE220" s="115">
        <v>9.1999999999999993</v>
      </c>
      <c r="AF220" s="115">
        <v>300</v>
      </c>
      <c r="AG220" s="115">
        <v>7</v>
      </c>
      <c r="AH220" s="115">
        <v>24</v>
      </c>
      <c r="AI220" s="115">
        <v>810</v>
      </c>
      <c r="AJ220" s="115" t="s">
        <v>180</v>
      </c>
      <c r="AK220" s="115">
        <v>21</v>
      </c>
      <c r="AL220" s="115"/>
      <c r="AM220" s="115"/>
      <c r="AN220" s="116"/>
      <c r="AO220" s="117">
        <v>0</v>
      </c>
      <c r="AP220" s="115">
        <v>3</v>
      </c>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spans="1:72">
      <c r="A221" s="115">
        <v>11</v>
      </c>
      <c r="B221" s="115" t="s">
        <v>227</v>
      </c>
      <c r="C221" s="115" t="s">
        <v>179</v>
      </c>
      <c r="D221" s="115">
        <v>172176262</v>
      </c>
      <c r="E221" s="115" t="s">
        <v>194</v>
      </c>
      <c r="F221" s="115" t="s">
        <v>98</v>
      </c>
      <c r="G221" s="115">
        <v>2</v>
      </c>
      <c r="H221" s="115" t="s">
        <v>22</v>
      </c>
      <c r="I221" s="115" t="s">
        <v>155</v>
      </c>
      <c r="J221" s="115" t="s">
        <v>264</v>
      </c>
      <c r="K221" s="115" t="s">
        <v>189</v>
      </c>
      <c r="L221" s="115"/>
      <c r="M221" s="115"/>
      <c r="N221" s="115">
        <v>3</v>
      </c>
      <c r="O221" s="115">
        <v>0</v>
      </c>
      <c r="P221" s="115">
        <v>0</v>
      </c>
      <c r="Q221" s="115">
        <v>1</v>
      </c>
      <c r="R221" s="115">
        <v>2</v>
      </c>
      <c r="S221" s="115" t="s">
        <v>179</v>
      </c>
      <c r="T221" s="115">
        <v>1</v>
      </c>
      <c r="U221" s="115">
        <v>2</v>
      </c>
      <c r="V221" s="115"/>
      <c r="W221" s="115"/>
      <c r="X221" s="115"/>
      <c r="Y221" s="115"/>
      <c r="Z221" s="115"/>
      <c r="AA221" s="115"/>
      <c r="AB221" s="115"/>
      <c r="AC221" s="115"/>
      <c r="AD221" s="115">
        <v>93</v>
      </c>
      <c r="AE221" s="115">
        <v>29.7</v>
      </c>
      <c r="AF221" s="115">
        <v>300</v>
      </c>
      <c r="AG221" s="115">
        <v>7</v>
      </c>
      <c r="AH221" s="115">
        <v>24</v>
      </c>
      <c r="AI221" s="115">
        <v>840</v>
      </c>
      <c r="AJ221" s="115" t="s">
        <v>180</v>
      </c>
      <c r="AK221" s="115">
        <v>15</v>
      </c>
      <c r="AL221" s="115"/>
      <c r="AM221" s="115"/>
      <c r="AN221" s="116"/>
      <c r="AO221" s="117" t="s">
        <v>203</v>
      </c>
      <c r="AP221" s="115">
        <v>1</v>
      </c>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spans="1:72">
      <c r="A222" s="115">
        <v>8</v>
      </c>
      <c r="B222" s="115" t="s">
        <v>207</v>
      </c>
      <c r="C222" s="115" t="s">
        <v>179</v>
      </c>
      <c r="D222" s="115">
        <v>281191248</v>
      </c>
      <c r="E222" s="115" t="s">
        <v>204</v>
      </c>
      <c r="F222" s="115" t="s">
        <v>88</v>
      </c>
      <c r="G222" s="115">
        <v>2</v>
      </c>
      <c r="H222" s="115" t="s">
        <v>183</v>
      </c>
      <c r="I222" s="115"/>
      <c r="J222" s="115" t="s">
        <v>232</v>
      </c>
      <c r="K222" s="115" t="s">
        <v>189</v>
      </c>
      <c r="L222" s="115"/>
      <c r="M222" s="115"/>
      <c r="N222" s="115">
        <v>3</v>
      </c>
      <c r="O222" s="115">
        <v>0</v>
      </c>
      <c r="P222" s="115">
        <v>0</v>
      </c>
      <c r="Q222" s="115">
        <v>0</v>
      </c>
      <c r="R222" s="115">
        <v>0</v>
      </c>
      <c r="S222" s="115" t="s">
        <v>179</v>
      </c>
      <c r="T222" s="115">
        <v>1</v>
      </c>
      <c r="U222" s="115">
        <v>3</v>
      </c>
      <c r="V222" s="115" t="s">
        <v>183</v>
      </c>
      <c r="W222" s="115"/>
      <c r="X222" s="115"/>
      <c r="Y222" s="115"/>
      <c r="Z222" s="115"/>
      <c r="AA222" s="115"/>
      <c r="AB222" s="115"/>
      <c r="AC222" s="115"/>
      <c r="AD222" s="115">
        <v>62</v>
      </c>
      <c r="AE222" s="115">
        <v>9.4</v>
      </c>
      <c r="AF222" s="115">
        <v>300</v>
      </c>
      <c r="AG222" s="115">
        <v>7</v>
      </c>
      <c r="AH222" s="115">
        <v>24</v>
      </c>
      <c r="AI222" s="115">
        <v>840</v>
      </c>
      <c r="AJ222" s="115" t="s">
        <v>180</v>
      </c>
      <c r="AK222" s="115">
        <v>5</v>
      </c>
      <c r="AL222" s="115"/>
      <c r="AM222" s="115"/>
      <c r="AN222" s="116"/>
      <c r="AO222" s="117">
        <v>1</v>
      </c>
      <c r="AP222" s="115">
        <v>2</v>
      </c>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spans="1:72">
      <c r="A223" s="115">
        <v>5</v>
      </c>
      <c r="B223" s="115" t="s">
        <v>216</v>
      </c>
      <c r="C223" s="115" t="s">
        <v>157</v>
      </c>
      <c r="D223" s="115">
        <v>135291867</v>
      </c>
      <c r="E223" s="115" t="s">
        <v>181</v>
      </c>
      <c r="F223" s="115" t="s">
        <v>115</v>
      </c>
      <c r="G223" s="115">
        <v>5</v>
      </c>
      <c r="H223" s="115" t="s">
        <v>22</v>
      </c>
      <c r="I223" s="115"/>
      <c r="J223" s="115" t="s">
        <v>320</v>
      </c>
      <c r="K223" s="115" t="s">
        <v>189</v>
      </c>
      <c r="L223" s="115"/>
      <c r="M223" s="115"/>
      <c r="N223" s="115"/>
      <c r="O223" s="115">
        <v>0</v>
      </c>
      <c r="P223" s="115">
        <v>0</v>
      </c>
      <c r="Q223" s="115">
        <v>1</v>
      </c>
      <c r="R223" s="115"/>
      <c r="S223" s="115" t="s">
        <v>155</v>
      </c>
      <c r="T223" s="115">
        <v>2</v>
      </c>
      <c r="U223" s="115"/>
      <c r="V223" s="115" t="s">
        <v>183</v>
      </c>
      <c r="W223" s="115" t="s">
        <v>178</v>
      </c>
      <c r="X223" s="115" t="s">
        <v>185</v>
      </c>
      <c r="Y223" s="115"/>
      <c r="Z223" s="115"/>
      <c r="AA223" s="115" t="s">
        <v>183</v>
      </c>
      <c r="AB223" s="115"/>
      <c r="AC223" s="115"/>
      <c r="AD223" s="115">
        <v>80</v>
      </c>
      <c r="AE223" s="115">
        <v>41.8</v>
      </c>
      <c r="AF223" s="115">
        <v>300</v>
      </c>
      <c r="AG223" s="115">
        <v>7</v>
      </c>
      <c r="AH223" s="115">
        <v>24</v>
      </c>
      <c r="AI223" s="115">
        <v>840</v>
      </c>
      <c r="AJ223" s="115" t="s">
        <v>180</v>
      </c>
      <c r="AK223" s="115">
        <v>6</v>
      </c>
      <c r="AL223" s="115"/>
      <c r="AM223" s="115">
        <v>2</v>
      </c>
      <c r="AN223" s="116" t="s">
        <v>337</v>
      </c>
      <c r="AO223" s="117" t="s">
        <v>157</v>
      </c>
      <c r="AP223" s="115">
        <v>3</v>
      </c>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spans="1:72">
      <c r="A224" s="115">
        <v>12</v>
      </c>
      <c r="B224" s="115" t="s">
        <v>227</v>
      </c>
      <c r="C224" s="115" t="s">
        <v>179</v>
      </c>
      <c r="D224" s="115">
        <v>135291879</v>
      </c>
      <c r="E224" s="115" t="s">
        <v>181</v>
      </c>
      <c r="F224" s="115" t="s">
        <v>115</v>
      </c>
      <c r="G224" s="115">
        <v>2</v>
      </c>
      <c r="H224" s="115" t="s">
        <v>22</v>
      </c>
      <c r="I224" s="115" t="s">
        <v>155</v>
      </c>
      <c r="J224" s="115" t="s">
        <v>264</v>
      </c>
      <c r="K224" s="115" t="s">
        <v>189</v>
      </c>
      <c r="L224" s="115"/>
      <c r="M224" s="115"/>
      <c r="N224" s="115">
        <v>5</v>
      </c>
      <c r="O224" s="115">
        <v>0</v>
      </c>
      <c r="P224" s="115">
        <v>0</v>
      </c>
      <c r="Q224" s="115">
        <v>1</v>
      </c>
      <c r="R224" s="115">
        <v>1</v>
      </c>
      <c r="S224" s="115" t="s">
        <v>179</v>
      </c>
      <c r="T224" s="115">
        <v>1</v>
      </c>
      <c r="U224" s="115">
        <v>2</v>
      </c>
      <c r="V224" s="115"/>
      <c r="W224" s="115"/>
      <c r="X224" s="115"/>
      <c r="Y224" s="115"/>
      <c r="Z224" s="115"/>
      <c r="AA224" s="115"/>
      <c r="AB224" s="115"/>
      <c r="AC224" s="115"/>
      <c r="AD224" s="115">
        <v>83</v>
      </c>
      <c r="AE224" s="115">
        <v>42</v>
      </c>
      <c r="AF224" s="115">
        <v>300</v>
      </c>
      <c r="AG224" s="115">
        <v>7</v>
      </c>
      <c r="AH224" s="115">
        <v>24</v>
      </c>
      <c r="AI224" s="115">
        <v>910</v>
      </c>
      <c r="AJ224" s="115" t="s">
        <v>180</v>
      </c>
      <c r="AK224" s="115">
        <v>15</v>
      </c>
      <c r="AL224" s="115"/>
      <c r="AM224" s="115"/>
      <c r="AN224" s="116"/>
      <c r="AO224" s="117">
        <v>2</v>
      </c>
      <c r="AP224" s="115">
        <v>1</v>
      </c>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spans="1:72">
      <c r="A225" s="115">
        <v>13</v>
      </c>
      <c r="B225" s="115" t="s">
        <v>227</v>
      </c>
      <c r="C225" s="115" t="s">
        <v>157</v>
      </c>
      <c r="D225" s="115">
        <v>288029950</v>
      </c>
      <c r="E225" s="115" t="s">
        <v>238</v>
      </c>
      <c r="F225" s="115" t="s">
        <v>87</v>
      </c>
      <c r="G225" s="115">
        <v>1</v>
      </c>
      <c r="H225" s="115" t="s">
        <v>155</v>
      </c>
      <c r="I225" s="115"/>
      <c r="J225" s="115" t="s">
        <v>176</v>
      </c>
      <c r="K225" s="115" t="s">
        <v>189</v>
      </c>
      <c r="L225" s="115"/>
      <c r="M225" s="115"/>
      <c r="N225" s="115">
        <v>6</v>
      </c>
      <c r="O225" s="115">
        <v>0</v>
      </c>
      <c r="P225" s="115">
        <v>0</v>
      </c>
      <c r="Q225" s="115">
        <v>1</v>
      </c>
      <c r="R225" s="115">
        <v>1</v>
      </c>
      <c r="S225" s="115" t="s">
        <v>179</v>
      </c>
      <c r="T225" s="115">
        <v>1</v>
      </c>
      <c r="U225" s="115"/>
      <c r="V225" s="115"/>
      <c r="W225" s="115"/>
      <c r="X225" s="115"/>
      <c r="Y225" s="115"/>
      <c r="Z225" s="115"/>
      <c r="AA225" s="115" t="s">
        <v>157</v>
      </c>
      <c r="AB225" s="115"/>
      <c r="AC225" s="115"/>
      <c r="AD225" s="115">
        <v>61</v>
      </c>
      <c r="AE225" s="115">
        <v>9.8000000000000007</v>
      </c>
      <c r="AF225" s="115">
        <v>300</v>
      </c>
      <c r="AG225" s="115">
        <v>7</v>
      </c>
      <c r="AH225" s="115">
        <v>24</v>
      </c>
      <c r="AI225" s="115">
        <v>910</v>
      </c>
      <c r="AJ225" s="115" t="s">
        <v>180</v>
      </c>
      <c r="AK225" s="115">
        <v>14</v>
      </c>
      <c r="AL225" s="115"/>
      <c r="AM225" s="115">
        <v>2</v>
      </c>
      <c r="AN225" s="116" t="s">
        <v>329</v>
      </c>
      <c r="AO225" s="117" t="s">
        <v>157</v>
      </c>
      <c r="AP225" s="115">
        <v>1</v>
      </c>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spans="1:72">
      <c r="A226" s="115">
        <v>9</v>
      </c>
      <c r="B226" s="115" t="s">
        <v>207</v>
      </c>
      <c r="C226" s="115" t="s">
        <v>179</v>
      </c>
      <c r="D226" s="115">
        <v>281191249</v>
      </c>
      <c r="E226" s="115" t="s">
        <v>229</v>
      </c>
      <c r="F226" s="115" t="s">
        <v>95</v>
      </c>
      <c r="G226" s="115">
        <v>5</v>
      </c>
      <c r="H226" s="115" t="s">
        <v>178</v>
      </c>
      <c r="I226" s="115" t="s">
        <v>22</v>
      </c>
      <c r="J226" s="115" t="s">
        <v>182</v>
      </c>
      <c r="K226" s="115" t="s">
        <v>177</v>
      </c>
      <c r="L226" s="115" t="s">
        <v>178</v>
      </c>
      <c r="M226" s="115"/>
      <c r="N226" s="115">
        <v>6</v>
      </c>
      <c r="O226" s="115">
        <v>0</v>
      </c>
      <c r="P226" s="115">
        <v>3</v>
      </c>
      <c r="Q226" s="115">
        <v>0</v>
      </c>
      <c r="R226" s="115">
        <v>0</v>
      </c>
      <c r="S226" s="115" t="s">
        <v>179</v>
      </c>
      <c r="T226" s="115">
        <v>1</v>
      </c>
      <c r="U226" s="115"/>
      <c r="V226" s="115"/>
      <c r="W226" s="115"/>
      <c r="X226" s="115"/>
      <c r="Y226" s="115"/>
      <c r="Z226" s="115"/>
      <c r="AA226" s="115" t="s">
        <v>183</v>
      </c>
      <c r="AB226" s="115"/>
      <c r="AC226" s="115"/>
      <c r="AD226" s="115">
        <v>51</v>
      </c>
      <c r="AE226" s="115">
        <v>11.5</v>
      </c>
      <c r="AF226" s="115">
        <v>300</v>
      </c>
      <c r="AG226" s="115">
        <v>7</v>
      </c>
      <c r="AH226" s="115">
        <v>24</v>
      </c>
      <c r="AI226" s="115">
        <v>910</v>
      </c>
      <c r="AJ226" s="115" t="s">
        <v>180</v>
      </c>
      <c r="AK226" s="115">
        <v>21</v>
      </c>
      <c r="AL226" s="115"/>
      <c r="AM226" s="115"/>
      <c r="AN226" s="116"/>
      <c r="AO226" s="117">
        <v>1</v>
      </c>
      <c r="AP226" s="115">
        <v>2</v>
      </c>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spans="1:72">
      <c r="A227" s="115">
        <v>10</v>
      </c>
      <c r="B227" s="115" t="s">
        <v>207</v>
      </c>
      <c r="C227" s="115" t="s">
        <v>179</v>
      </c>
      <c r="D227" s="115">
        <v>288029971</v>
      </c>
      <c r="E227" s="115" t="s">
        <v>238</v>
      </c>
      <c r="F227" s="115" t="s">
        <v>87</v>
      </c>
      <c r="G227" s="115">
        <v>2</v>
      </c>
      <c r="H227" s="115" t="s">
        <v>183</v>
      </c>
      <c r="I227" s="115"/>
      <c r="J227" s="115" t="s">
        <v>232</v>
      </c>
      <c r="K227" s="115" t="s">
        <v>189</v>
      </c>
      <c r="L227" s="115"/>
      <c r="M227" s="115"/>
      <c r="N227" s="115"/>
      <c r="O227" s="115">
        <v>0</v>
      </c>
      <c r="P227" s="115">
        <v>0</v>
      </c>
      <c r="Q227" s="115">
        <v>2</v>
      </c>
      <c r="R227" s="115">
        <v>0</v>
      </c>
      <c r="S227" s="115" t="s">
        <v>179</v>
      </c>
      <c r="T227" s="115">
        <v>1</v>
      </c>
      <c r="U227" s="115">
        <v>3</v>
      </c>
      <c r="V227" s="115" t="s">
        <v>183</v>
      </c>
      <c r="W227" s="115"/>
      <c r="X227" s="115"/>
      <c r="Y227" s="115"/>
      <c r="Z227" s="115"/>
      <c r="AA227" s="115" t="s">
        <v>183</v>
      </c>
      <c r="AB227" s="115"/>
      <c r="AC227" s="115"/>
      <c r="AD227" s="115">
        <v>58</v>
      </c>
      <c r="AE227" s="115"/>
      <c r="AF227" s="115">
        <v>300</v>
      </c>
      <c r="AG227" s="115">
        <v>7</v>
      </c>
      <c r="AH227" s="115">
        <v>24</v>
      </c>
      <c r="AI227" s="115">
        <v>910</v>
      </c>
      <c r="AJ227" s="115" t="s">
        <v>180</v>
      </c>
      <c r="AK227" s="115">
        <v>14</v>
      </c>
      <c r="AL227" s="115"/>
      <c r="AM227" s="115"/>
      <c r="AN227" s="116"/>
      <c r="AO227" s="118">
        <v>0</v>
      </c>
      <c r="AP227" s="115">
        <v>2</v>
      </c>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spans="1:72">
      <c r="A228" s="115">
        <v>6</v>
      </c>
      <c r="B228" s="115" t="s">
        <v>216</v>
      </c>
      <c r="C228" s="115" t="s">
        <v>179</v>
      </c>
      <c r="D228" s="115">
        <v>172176263</v>
      </c>
      <c r="E228" s="115" t="s">
        <v>175</v>
      </c>
      <c r="F228" s="115" t="s">
        <v>114</v>
      </c>
      <c r="G228" s="115">
        <v>2</v>
      </c>
      <c r="H228" s="115" t="s">
        <v>22</v>
      </c>
      <c r="I228" s="115"/>
      <c r="J228" s="115" t="s">
        <v>200</v>
      </c>
      <c r="K228" s="115" t="s">
        <v>189</v>
      </c>
      <c r="L228" s="115"/>
      <c r="M228" s="115"/>
      <c r="N228" s="115">
        <v>1</v>
      </c>
      <c r="O228" s="115">
        <v>0</v>
      </c>
      <c r="P228" s="115">
        <v>0</v>
      </c>
      <c r="Q228" s="115">
        <v>0</v>
      </c>
      <c r="R228" s="115">
        <v>2</v>
      </c>
      <c r="S228" s="115" t="s">
        <v>179</v>
      </c>
      <c r="T228" s="115">
        <v>1</v>
      </c>
      <c r="U228" s="115">
        <v>3</v>
      </c>
      <c r="V228" s="115"/>
      <c r="W228" s="115"/>
      <c r="X228" s="115"/>
      <c r="Y228" s="115"/>
      <c r="Z228" s="115"/>
      <c r="AA228" s="115" t="s">
        <v>183</v>
      </c>
      <c r="AB228" s="115"/>
      <c r="AC228" s="115"/>
      <c r="AD228" s="115">
        <v>68</v>
      </c>
      <c r="AE228" s="115">
        <v>23.4</v>
      </c>
      <c r="AF228" s="115">
        <v>300</v>
      </c>
      <c r="AG228" s="115">
        <v>7</v>
      </c>
      <c r="AH228" s="115">
        <v>24</v>
      </c>
      <c r="AI228" s="115">
        <v>910</v>
      </c>
      <c r="AJ228" s="115" t="s">
        <v>180</v>
      </c>
      <c r="AK228" s="115">
        <v>20</v>
      </c>
      <c r="AL228" s="115"/>
      <c r="AM228" s="115">
        <v>3</v>
      </c>
      <c r="AN228" s="116" t="s">
        <v>338</v>
      </c>
      <c r="AO228" s="117" t="s">
        <v>203</v>
      </c>
      <c r="AP228" s="115">
        <v>3</v>
      </c>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spans="1:72">
      <c r="A229" s="115">
        <v>14</v>
      </c>
      <c r="B229" s="115" t="s">
        <v>227</v>
      </c>
      <c r="C229" s="115" t="s">
        <v>179</v>
      </c>
      <c r="D229" s="115">
        <v>172176264</v>
      </c>
      <c r="E229" s="115" t="s">
        <v>175</v>
      </c>
      <c r="F229" s="115" t="s">
        <v>114</v>
      </c>
      <c r="G229" s="115">
        <v>2</v>
      </c>
      <c r="H229" s="115" t="s">
        <v>155</v>
      </c>
      <c r="I229" s="115" t="s">
        <v>22</v>
      </c>
      <c r="J229" s="115" t="s">
        <v>330</v>
      </c>
      <c r="K229" s="115" t="s">
        <v>189</v>
      </c>
      <c r="L229" s="115"/>
      <c r="M229" s="115"/>
      <c r="N229" s="115">
        <v>5</v>
      </c>
      <c r="O229" s="115">
        <v>0</v>
      </c>
      <c r="P229" s="115">
        <v>0</v>
      </c>
      <c r="Q229" s="115">
        <v>1</v>
      </c>
      <c r="R229" s="115">
        <v>0</v>
      </c>
      <c r="S229" s="115" t="s">
        <v>179</v>
      </c>
      <c r="T229" s="115">
        <v>1</v>
      </c>
      <c r="U229" s="115">
        <v>3</v>
      </c>
      <c r="V229" s="115"/>
      <c r="W229" s="115"/>
      <c r="X229" s="115"/>
      <c r="Y229" s="115"/>
      <c r="Z229" s="115"/>
      <c r="AA229" s="115"/>
      <c r="AB229" s="115"/>
      <c r="AC229" s="115"/>
      <c r="AD229" s="115">
        <v>66</v>
      </c>
      <c r="AE229" s="115">
        <v>22.8</v>
      </c>
      <c r="AF229" s="115">
        <v>300</v>
      </c>
      <c r="AG229" s="115">
        <v>7</v>
      </c>
      <c r="AH229" s="115">
        <v>24</v>
      </c>
      <c r="AI229" s="115">
        <v>950</v>
      </c>
      <c r="AJ229" s="115" t="s">
        <v>180</v>
      </c>
      <c r="AK229" s="115">
        <v>14</v>
      </c>
      <c r="AL229" s="115"/>
      <c r="AM229" s="115"/>
      <c r="AN229" s="116"/>
      <c r="AO229" s="117" t="s">
        <v>203</v>
      </c>
      <c r="AP229" s="115">
        <v>1</v>
      </c>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spans="1:72">
      <c r="A230" s="115">
        <v>15</v>
      </c>
      <c r="B230" s="115" t="s">
        <v>227</v>
      </c>
      <c r="C230" s="115" t="s">
        <v>157</v>
      </c>
      <c r="D230" s="115">
        <v>290077833</v>
      </c>
      <c r="E230" s="115" t="s">
        <v>235</v>
      </c>
      <c r="F230" s="115" t="s">
        <v>70</v>
      </c>
      <c r="G230" s="115">
        <v>1</v>
      </c>
      <c r="H230" s="115" t="s">
        <v>155</v>
      </c>
      <c r="I230" s="115"/>
      <c r="J230" s="115" t="s">
        <v>176</v>
      </c>
      <c r="K230" s="115" t="s">
        <v>189</v>
      </c>
      <c r="L230" s="115"/>
      <c r="M230" s="115"/>
      <c r="N230" s="115">
        <v>6</v>
      </c>
      <c r="O230" s="115">
        <v>0</v>
      </c>
      <c r="P230" s="115">
        <v>0</v>
      </c>
      <c r="Q230" s="115">
        <v>0</v>
      </c>
      <c r="R230" s="115">
        <v>0</v>
      </c>
      <c r="S230" s="115" t="s">
        <v>179</v>
      </c>
      <c r="T230" s="115">
        <v>4</v>
      </c>
      <c r="U230" s="115"/>
      <c r="V230" s="115"/>
      <c r="W230" s="115"/>
      <c r="X230" s="115"/>
      <c r="Y230" s="115"/>
      <c r="Z230" s="115"/>
      <c r="AA230" s="115"/>
      <c r="AB230" s="115"/>
      <c r="AC230" s="115"/>
      <c r="AD230" s="115">
        <v>65</v>
      </c>
      <c r="AE230" s="115">
        <v>11.2</v>
      </c>
      <c r="AF230" s="115">
        <v>300</v>
      </c>
      <c r="AG230" s="115">
        <v>7</v>
      </c>
      <c r="AH230" s="115">
        <v>24</v>
      </c>
      <c r="AI230" s="115">
        <v>950</v>
      </c>
      <c r="AJ230" s="115" t="s">
        <v>180</v>
      </c>
      <c r="AK230" s="115">
        <v>5</v>
      </c>
      <c r="AL230" s="115"/>
      <c r="AM230" s="115"/>
      <c r="AN230" s="116"/>
      <c r="AO230" s="117" t="s">
        <v>157</v>
      </c>
      <c r="AP230" s="115">
        <v>1</v>
      </c>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spans="1:72">
      <c r="A231" s="115">
        <v>16</v>
      </c>
      <c r="B231" s="115" t="s">
        <v>227</v>
      </c>
      <c r="C231" s="115" t="s">
        <v>157</v>
      </c>
      <c r="D231" s="115"/>
      <c r="E231" s="115" t="s">
        <v>229</v>
      </c>
      <c r="F231" s="115" t="s">
        <v>95</v>
      </c>
      <c r="G231" s="115">
        <v>9</v>
      </c>
      <c r="H231" s="115"/>
      <c r="I231" s="115"/>
      <c r="J231" s="115"/>
      <c r="K231" s="115" t="s">
        <v>189</v>
      </c>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v>300</v>
      </c>
      <c r="AG231" s="115">
        <v>7</v>
      </c>
      <c r="AH231" s="115">
        <v>24</v>
      </c>
      <c r="AI231" s="115">
        <v>950</v>
      </c>
      <c r="AJ231" s="115" t="s">
        <v>180</v>
      </c>
      <c r="AK231" s="115">
        <v>6</v>
      </c>
      <c r="AL231" s="115"/>
      <c r="AM231" s="115">
        <v>3</v>
      </c>
      <c r="AN231" s="116" t="s">
        <v>331</v>
      </c>
      <c r="AO231" s="117" t="s">
        <v>157</v>
      </c>
      <c r="AP231" s="115">
        <v>1</v>
      </c>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spans="1:72">
      <c r="A232" s="115">
        <v>11</v>
      </c>
      <c r="B232" s="115" t="s">
        <v>207</v>
      </c>
      <c r="C232" s="115" t="s">
        <v>179</v>
      </c>
      <c r="D232" s="115">
        <v>288029973</v>
      </c>
      <c r="E232" s="115" t="s">
        <v>235</v>
      </c>
      <c r="F232" s="115" t="s">
        <v>70</v>
      </c>
      <c r="G232" s="115">
        <v>5</v>
      </c>
      <c r="H232" s="115" t="s">
        <v>185</v>
      </c>
      <c r="I232" s="115"/>
      <c r="J232" s="115" t="s">
        <v>320</v>
      </c>
      <c r="K232" s="115" t="s">
        <v>177</v>
      </c>
      <c r="L232" s="115" t="s">
        <v>178</v>
      </c>
      <c r="M232" s="115"/>
      <c r="N232" s="115"/>
      <c r="O232" s="115">
        <v>0</v>
      </c>
      <c r="P232" s="115">
        <v>2</v>
      </c>
      <c r="Q232" s="115">
        <v>1</v>
      </c>
      <c r="R232" s="115">
        <v>0</v>
      </c>
      <c r="S232" s="115" t="s">
        <v>179</v>
      </c>
      <c r="T232" s="115">
        <v>4</v>
      </c>
      <c r="U232" s="115"/>
      <c r="V232" s="115"/>
      <c r="W232" s="115" t="s">
        <v>186</v>
      </c>
      <c r="X232" s="115"/>
      <c r="Y232" s="115"/>
      <c r="Z232" s="115"/>
      <c r="AA232" s="115"/>
      <c r="AB232" s="115"/>
      <c r="AC232" s="115"/>
      <c r="AD232" s="115">
        <v>61</v>
      </c>
      <c r="AE232" s="115">
        <v>10.199999999999999</v>
      </c>
      <c r="AF232" s="115">
        <v>300</v>
      </c>
      <c r="AG232" s="115">
        <v>7</v>
      </c>
      <c r="AH232" s="115">
        <v>24</v>
      </c>
      <c r="AI232" s="115">
        <v>950</v>
      </c>
      <c r="AJ232" s="115" t="s">
        <v>180</v>
      </c>
      <c r="AK232" s="115">
        <v>9</v>
      </c>
      <c r="AL232" s="115"/>
      <c r="AM232" s="115">
        <v>4</v>
      </c>
      <c r="AN232" s="116" t="s">
        <v>335</v>
      </c>
      <c r="AO232" s="117">
        <v>0</v>
      </c>
      <c r="AP232" s="115">
        <v>2</v>
      </c>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spans="1:72">
      <c r="A233" s="115">
        <v>7</v>
      </c>
      <c r="B233" s="115" t="s">
        <v>216</v>
      </c>
      <c r="C233" s="115" t="s">
        <v>179</v>
      </c>
      <c r="D233" s="115">
        <v>288029972</v>
      </c>
      <c r="E233" s="115" t="s">
        <v>235</v>
      </c>
      <c r="F233" s="115" t="s">
        <v>70</v>
      </c>
      <c r="G233" s="115">
        <v>1</v>
      </c>
      <c r="H233" s="115" t="s">
        <v>22</v>
      </c>
      <c r="I233" s="115" t="s">
        <v>155</v>
      </c>
      <c r="J233" s="115" t="s">
        <v>339</v>
      </c>
      <c r="K233" s="115" t="s">
        <v>189</v>
      </c>
      <c r="L233" s="115"/>
      <c r="M233" s="115"/>
      <c r="N233" s="115">
        <v>6</v>
      </c>
      <c r="O233" s="115">
        <v>0</v>
      </c>
      <c r="P233" s="115">
        <v>0</v>
      </c>
      <c r="Q233" s="115">
        <v>0</v>
      </c>
      <c r="R233" s="115">
        <v>0</v>
      </c>
      <c r="S233" s="115" t="s">
        <v>179</v>
      </c>
      <c r="T233" s="115">
        <v>4</v>
      </c>
      <c r="U233" s="115"/>
      <c r="V233" s="115" t="s">
        <v>177</v>
      </c>
      <c r="W233" s="115" t="s">
        <v>177</v>
      </c>
      <c r="X233" s="115"/>
      <c r="Y233" s="115"/>
      <c r="Z233" s="115"/>
      <c r="AA233" s="115" t="s">
        <v>183</v>
      </c>
      <c r="AB233" s="115"/>
      <c r="AC233" s="115"/>
      <c r="AD233" s="115">
        <v>66</v>
      </c>
      <c r="AE233" s="115">
        <v>11.2</v>
      </c>
      <c r="AF233" s="115">
        <v>300</v>
      </c>
      <c r="AG233" s="115">
        <v>7</v>
      </c>
      <c r="AH233" s="115">
        <v>24</v>
      </c>
      <c r="AI233" s="115">
        <v>950</v>
      </c>
      <c r="AJ233" s="115" t="s">
        <v>180</v>
      </c>
      <c r="AK233" s="115">
        <v>5</v>
      </c>
      <c r="AL233" s="115"/>
      <c r="AM233" s="115">
        <v>4</v>
      </c>
      <c r="AN233" s="116" t="s">
        <v>340</v>
      </c>
      <c r="AO233" s="118">
        <v>0</v>
      </c>
      <c r="AP233" s="115">
        <v>3</v>
      </c>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spans="1:72">
      <c r="A234" s="115">
        <v>17</v>
      </c>
      <c r="B234" s="115" t="s">
        <v>227</v>
      </c>
      <c r="C234" s="115" t="s">
        <v>179</v>
      </c>
      <c r="D234" s="115">
        <v>288029974</v>
      </c>
      <c r="E234" s="115" t="s">
        <v>238</v>
      </c>
      <c r="F234" s="115" t="s">
        <v>87</v>
      </c>
      <c r="G234" s="115">
        <v>1</v>
      </c>
      <c r="H234" s="115" t="s">
        <v>155</v>
      </c>
      <c r="I234" s="115"/>
      <c r="J234" s="115" t="s">
        <v>176</v>
      </c>
      <c r="K234" s="115" t="s">
        <v>189</v>
      </c>
      <c r="L234" s="115"/>
      <c r="M234" s="115"/>
      <c r="N234" s="115">
        <v>6</v>
      </c>
      <c r="O234" s="115">
        <v>0</v>
      </c>
      <c r="P234" s="115">
        <v>0</v>
      </c>
      <c r="Q234" s="115">
        <v>2</v>
      </c>
      <c r="R234" s="115">
        <v>4</v>
      </c>
      <c r="S234" s="115" t="s">
        <v>179</v>
      </c>
      <c r="T234" s="115">
        <v>1</v>
      </c>
      <c r="U234" s="115"/>
      <c r="V234" s="115"/>
      <c r="W234" s="115"/>
      <c r="X234" s="115"/>
      <c r="Y234" s="115"/>
      <c r="Z234" s="115"/>
      <c r="AA234" s="115"/>
      <c r="AB234" s="115"/>
      <c r="AC234" s="115"/>
      <c r="AD234" s="115">
        <v>59</v>
      </c>
      <c r="AE234" s="115">
        <v>10.5</v>
      </c>
      <c r="AF234" s="115">
        <v>300</v>
      </c>
      <c r="AG234" s="115">
        <v>7</v>
      </c>
      <c r="AH234" s="115">
        <v>24</v>
      </c>
      <c r="AI234" s="115">
        <v>1030</v>
      </c>
      <c r="AJ234" s="115" t="s">
        <v>180</v>
      </c>
      <c r="AK234" s="115">
        <v>5</v>
      </c>
      <c r="AL234" s="115"/>
      <c r="AM234" s="115">
        <v>4</v>
      </c>
      <c r="AN234" s="116"/>
      <c r="AO234" s="117">
        <v>0</v>
      </c>
      <c r="AP234" s="115">
        <v>1</v>
      </c>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spans="1:72">
      <c r="A235" s="115">
        <v>12</v>
      </c>
      <c r="B235" s="115" t="s">
        <v>207</v>
      </c>
      <c r="C235" s="115" t="s">
        <v>179</v>
      </c>
      <c r="D235" s="115">
        <v>288029975</v>
      </c>
      <c r="E235" s="115" t="s">
        <v>238</v>
      </c>
      <c r="F235" s="115" t="s">
        <v>87</v>
      </c>
      <c r="G235" s="115">
        <v>2</v>
      </c>
      <c r="H235" s="115" t="s">
        <v>183</v>
      </c>
      <c r="I235" s="115"/>
      <c r="J235" s="115" t="s">
        <v>232</v>
      </c>
      <c r="K235" s="115" t="s">
        <v>189</v>
      </c>
      <c r="L235" s="115"/>
      <c r="M235" s="115"/>
      <c r="N235" s="115"/>
      <c r="O235" s="115">
        <v>0</v>
      </c>
      <c r="P235" s="115">
        <v>0</v>
      </c>
      <c r="Q235" s="115">
        <v>1</v>
      </c>
      <c r="R235" s="115">
        <v>0</v>
      </c>
      <c r="S235" s="115" t="s">
        <v>179</v>
      </c>
      <c r="T235" s="115">
        <v>1</v>
      </c>
      <c r="U235" s="115">
        <v>3</v>
      </c>
      <c r="V235" s="115"/>
      <c r="W235" s="115"/>
      <c r="X235" s="115"/>
      <c r="Y235" s="115"/>
      <c r="Z235" s="115"/>
      <c r="AA235" s="115" t="s">
        <v>183</v>
      </c>
      <c r="AB235" s="115"/>
      <c r="AC235" s="115"/>
      <c r="AD235" s="115">
        <v>61</v>
      </c>
      <c r="AE235" s="115">
        <v>11.8</v>
      </c>
      <c r="AF235" s="115">
        <v>300</v>
      </c>
      <c r="AG235" s="115">
        <v>7</v>
      </c>
      <c r="AH235" s="115">
        <v>24</v>
      </c>
      <c r="AI235" s="115">
        <v>1030</v>
      </c>
      <c r="AJ235" s="115" t="s">
        <v>180</v>
      </c>
      <c r="AK235" s="115">
        <v>5</v>
      </c>
      <c r="AL235" s="115"/>
      <c r="AM235" s="115"/>
      <c r="AN235" s="116"/>
      <c r="AO235" s="117">
        <v>0</v>
      </c>
      <c r="AP235" s="115">
        <v>2</v>
      </c>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spans="1:72">
      <c r="A236" s="115">
        <v>13</v>
      </c>
      <c r="B236" s="115" t="s">
        <v>207</v>
      </c>
      <c r="C236" s="115" t="s">
        <v>179</v>
      </c>
      <c r="D236" s="115">
        <v>172176265</v>
      </c>
      <c r="E236" s="115" t="s">
        <v>175</v>
      </c>
      <c r="F236" s="115" t="s">
        <v>114</v>
      </c>
      <c r="G236" s="115">
        <v>2</v>
      </c>
      <c r="H236" s="115" t="s">
        <v>183</v>
      </c>
      <c r="I236" s="115"/>
      <c r="J236" s="115" t="s">
        <v>264</v>
      </c>
      <c r="K236" s="115" t="s">
        <v>189</v>
      </c>
      <c r="L236" s="115"/>
      <c r="M236" s="115"/>
      <c r="N236" s="115"/>
      <c r="O236" s="115">
        <v>0</v>
      </c>
      <c r="P236" s="115">
        <v>0</v>
      </c>
      <c r="Q236" s="115">
        <v>1</v>
      </c>
      <c r="R236" s="115">
        <v>1</v>
      </c>
      <c r="S236" s="115" t="s">
        <v>179</v>
      </c>
      <c r="T236" s="115">
        <v>1</v>
      </c>
      <c r="U236" s="115">
        <v>3</v>
      </c>
      <c r="V236" s="115"/>
      <c r="W236" s="115"/>
      <c r="X236" s="115"/>
      <c r="Y236" s="115"/>
      <c r="Z236" s="115"/>
      <c r="AA236" s="115"/>
      <c r="AB236" s="115"/>
      <c r="AC236" s="115"/>
      <c r="AD236" s="115">
        <v>61</v>
      </c>
      <c r="AE236" s="115">
        <v>22.6</v>
      </c>
      <c r="AF236" s="115">
        <v>300</v>
      </c>
      <c r="AG236" s="115">
        <v>7</v>
      </c>
      <c r="AH236" s="115">
        <v>24</v>
      </c>
      <c r="AI236" s="115">
        <v>1030</v>
      </c>
      <c r="AJ236" s="115" t="s">
        <v>180</v>
      </c>
      <c r="AK236" s="115">
        <v>20</v>
      </c>
      <c r="AL236" s="115"/>
      <c r="AM236" s="115"/>
      <c r="AN236" s="116"/>
      <c r="AO236" s="117" t="s">
        <v>203</v>
      </c>
      <c r="AP236" s="115">
        <v>2</v>
      </c>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spans="1:72">
      <c r="A237" s="115">
        <v>8</v>
      </c>
      <c r="B237" s="115" t="s">
        <v>216</v>
      </c>
      <c r="C237" s="115" t="s">
        <v>179</v>
      </c>
      <c r="D237" s="115">
        <v>288029976</v>
      </c>
      <c r="E237" s="115" t="s">
        <v>235</v>
      </c>
      <c r="F237" s="115" t="s">
        <v>70</v>
      </c>
      <c r="G237" s="115">
        <v>1</v>
      </c>
      <c r="H237" s="115" t="s">
        <v>155</v>
      </c>
      <c r="I237" s="115"/>
      <c r="J237" s="115" t="s">
        <v>339</v>
      </c>
      <c r="K237" s="115" t="s">
        <v>189</v>
      </c>
      <c r="L237" s="115"/>
      <c r="M237" s="115"/>
      <c r="N237" s="115">
        <v>6</v>
      </c>
      <c r="O237" s="115">
        <v>0</v>
      </c>
      <c r="P237" s="115">
        <v>0</v>
      </c>
      <c r="Q237" s="115">
        <v>0</v>
      </c>
      <c r="R237" s="115">
        <v>0</v>
      </c>
      <c r="S237" s="115" t="s">
        <v>179</v>
      </c>
      <c r="T237" s="115">
        <v>2</v>
      </c>
      <c r="U237" s="115"/>
      <c r="V237" s="115"/>
      <c r="W237" s="115"/>
      <c r="X237" s="115"/>
      <c r="Y237" s="115"/>
      <c r="Z237" s="115"/>
      <c r="AA237" s="115"/>
      <c r="AB237" s="115"/>
      <c r="AC237" s="115"/>
      <c r="AD237" s="115">
        <v>66</v>
      </c>
      <c r="AE237" s="115">
        <v>10.8</v>
      </c>
      <c r="AF237" s="115">
        <v>300</v>
      </c>
      <c r="AG237" s="115">
        <v>7</v>
      </c>
      <c r="AH237" s="115">
        <v>24</v>
      </c>
      <c r="AI237" s="115">
        <v>1030</v>
      </c>
      <c r="AJ237" s="115" t="s">
        <v>180</v>
      </c>
      <c r="AK237" s="115">
        <v>20</v>
      </c>
      <c r="AL237" s="115"/>
      <c r="AM237" s="115">
        <v>5</v>
      </c>
      <c r="AN237" s="116" t="s">
        <v>341</v>
      </c>
      <c r="AO237" s="117">
        <v>0</v>
      </c>
      <c r="AP237" s="115">
        <v>3</v>
      </c>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spans="1:72">
      <c r="A238" s="115">
        <v>3</v>
      </c>
      <c r="B238" s="115" t="s">
        <v>207</v>
      </c>
      <c r="C238" s="115" t="s">
        <v>179</v>
      </c>
      <c r="D238" s="115">
        <v>288029979</v>
      </c>
      <c r="E238" s="115" t="s">
        <v>210</v>
      </c>
      <c r="F238" s="115" t="s">
        <v>68</v>
      </c>
      <c r="G238" s="115">
        <v>5</v>
      </c>
      <c r="H238" s="115" t="s">
        <v>22</v>
      </c>
      <c r="I238" s="115"/>
      <c r="J238" s="115" t="s">
        <v>182</v>
      </c>
      <c r="K238" s="115"/>
      <c r="L238" s="115"/>
      <c r="M238" s="115"/>
      <c r="N238" s="115">
        <v>6</v>
      </c>
      <c r="O238" s="115"/>
      <c r="P238" s="115"/>
      <c r="Q238" s="115"/>
      <c r="R238" s="115">
        <v>0</v>
      </c>
      <c r="S238" s="115" t="s">
        <v>179</v>
      </c>
      <c r="T238" s="115">
        <v>1</v>
      </c>
      <c r="U238" s="115"/>
      <c r="V238" s="115"/>
      <c r="W238" s="115"/>
      <c r="X238" s="115"/>
      <c r="Y238" s="115" t="s">
        <v>177</v>
      </c>
      <c r="Z238" s="115"/>
      <c r="AA238" s="115"/>
      <c r="AB238" s="115"/>
      <c r="AC238" s="115"/>
      <c r="AD238" s="115"/>
      <c r="AE238" s="115"/>
      <c r="AF238" s="115">
        <v>300</v>
      </c>
      <c r="AG238" s="115">
        <v>7</v>
      </c>
      <c r="AH238" s="115">
        <v>31</v>
      </c>
      <c r="AI238" s="115">
        <v>9</v>
      </c>
      <c r="AJ238" s="115" t="s">
        <v>180</v>
      </c>
      <c r="AK238" s="115">
        <v>21</v>
      </c>
      <c r="AL238" s="115"/>
      <c r="AM238" s="115">
        <v>3</v>
      </c>
      <c r="AN238" s="116" t="s">
        <v>350</v>
      </c>
      <c r="AO238" s="118">
        <v>0</v>
      </c>
      <c r="AP238" s="115">
        <v>2</v>
      </c>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spans="1:72">
      <c r="A239" s="115">
        <v>5</v>
      </c>
      <c r="B239" s="115" t="s">
        <v>174</v>
      </c>
      <c r="C239" s="115" t="s">
        <v>179</v>
      </c>
      <c r="D239" s="115">
        <v>290077853</v>
      </c>
      <c r="E239" s="115" t="s">
        <v>210</v>
      </c>
      <c r="F239" s="115" t="s">
        <v>68</v>
      </c>
      <c r="G239" s="115">
        <v>2</v>
      </c>
      <c r="H239" s="115" t="s">
        <v>183</v>
      </c>
      <c r="I239" s="115"/>
      <c r="J239" s="115" t="s">
        <v>200</v>
      </c>
      <c r="K239" s="115" t="s">
        <v>189</v>
      </c>
      <c r="L239" s="115"/>
      <c r="M239" s="115"/>
      <c r="N239" s="115"/>
      <c r="O239" s="115">
        <v>0</v>
      </c>
      <c r="P239" s="115">
        <v>0</v>
      </c>
      <c r="Q239" s="115">
        <v>1</v>
      </c>
      <c r="R239" s="115">
        <v>3</v>
      </c>
      <c r="S239" s="115" t="s">
        <v>179</v>
      </c>
      <c r="T239" s="115">
        <v>0</v>
      </c>
      <c r="U239" s="115">
        <v>3</v>
      </c>
      <c r="V239" s="115"/>
      <c r="W239" s="115"/>
      <c r="X239" s="115"/>
      <c r="Y239" s="115"/>
      <c r="Z239" s="115"/>
      <c r="AA239" s="115"/>
      <c r="AB239" s="115"/>
      <c r="AC239" s="115"/>
      <c r="AD239" s="115">
        <v>64</v>
      </c>
      <c r="AE239" s="115"/>
      <c r="AF239" s="115">
        <v>300</v>
      </c>
      <c r="AG239" s="115">
        <v>7</v>
      </c>
      <c r="AH239" s="115">
        <v>31</v>
      </c>
      <c r="AI239" s="115">
        <v>11</v>
      </c>
      <c r="AJ239" s="115" t="s">
        <v>180</v>
      </c>
      <c r="AK239" s="115">
        <v>21</v>
      </c>
      <c r="AL239" s="115"/>
      <c r="AM239" s="115">
        <v>4</v>
      </c>
      <c r="AN239" s="116" t="s">
        <v>346</v>
      </c>
      <c r="AO239" s="117" t="s">
        <v>215</v>
      </c>
      <c r="AP239" s="115">
        <v>1</v>
      </c>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spans="1:72">
      <c r="A240" s="115">
        <v>1</v>
      </c>
      <c r="B240" s="115" t="s">
        <v>216</v>
      </c>
      <c r="C240" s="115" t="s">
        <v>157</v>
      </c>
      <c r="D240" s="115">
        <v>135291879</v>
      </c>
      <c r="E240" s="115" t="s">
        <v>181</v>
      </c>
      <c r="F240" s="115" t="s">
        <v>115</v>
      </c>
      <c r="G240" s="115">
        <v>2</v>
      </c>
      <c r="H240" s="115" t="s">
        <v>183</v>
      </c>
      <c r="I240" s="115"/>
      <c r="J240" s="115" t="s">
        <v>200</v>
      </c>
      <c r="K240" s="115" t="s">
        <v>189</v>
      </c>
      <c r="L240" s="115"/>
      <c r="M240" s="115"/>
      <c r="N240" s="115"/>
      <c r="O240" s="115">
        <v>0</v>
      </c>
      <c r="P240" s="115">
        <v>0</v>
      </c>
      <c r="Q240" s="115">
        <v>1</v>
      </c>
      <c r="R240" s="115">
        <v>3</v>
      </c>
      <c r="S240" s="115" t="s">
        <v>183</v>
      </c>
      <c r="T240" s="115">
        <v>1</v>
      </c>
      <c r="U240" s="115"/>
      <c r="V240" s="115"/>
      <c r="W240" s="115"/>
      <c r="X240" s="115"/>
      <c r="Y240" s="115"/>
      <c r="Z240" s="115"/>
      <c r="AA240" s="115"/>
      <c r="AB240" s="115"/>
      <c r="AC240" s="115"/>
      <c r="AD240" s="115">
        <v>83</v>
      </c>
      <c r="AE240" s="115">
        <v>39</v>
      </c>
      <c r="AF240" s="115">
        <v>300</v>
      </c>
      <c r="AG240" s="115">
        <v>7</v>
      </c>
      <c r="AH240" s="115">
        <v>31</v>
      </c>
      <c r="AI240" s="115">
        <v>720</v>
      </c>
      <c r="AJ240" s="115" t="s">
        <v>180</v>
      </c>
      <c r="AK240" s="115">
        <v>15</v>
      </c>
      <c r="AL240" s="115"/>
      <c r="AM240" s="115"/>
      <c r="AN240" s="116"/>
      <c r="AO240" s="117" t="s">
        <v>157</v>
      </c>
      <c r="AP240" s="115">
        <v>4</v>
      </c>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spans="1:72">
      <c r="A241" s="115">
        <v>1</v>
      </c>
      <c r="B241" s="115" t="s">
        <v>174</v>
      </c>
      <c r="C241" s="115" t="s">
        <v>179</v>
      </c>
      <c r="D241" s="115">
        <v>172176268</v>
      </c>
      <c r="E241" s="115" t="s">
        <v>175</v>
      </c>
      <c r="F241" s="115" t="s">
        <v>114</v>
      </c>
      <c r="G241" s="115">
        <v>2</v>
      </c>
      <c r="H241" s="115" t="s">
        <v>183</v>
      </c>
      <c r="I241" s="115" t="s">
        <v>220</v>
      </c>
      <c r="J241" s="115" t="s">
        <v>232</v>
      </c>
      <c r="K241" s="115" t="s">
        <v>189</v>
      </c>
      <c r="L241" s="115"/>
      <c r="M241" s="115"/>
      <c r="N241" s="115">
        <v>2</v>
      </c>
      <c r="O241" s="115">
        <v>0</v>
      </c>
      <c r="P241" s="115">
        <v>0</v>
      </c>
      <c r="Q241" s="115">
        <v>3</v>
      </c>
      <c r="R241" s="115">
        <v>0</v>
      </c>
      <c r="S241" s="115" t="s">
        <v>179</v>
      </c>
      <c r="T241" s="115">
        <v>1</v>
      </c>
      <c r="U241" s="115">
        <v>3</v>
      </c>
      <c r="V241" s="115"/>
      <c r="W241" s="115"/>
      <c r="X241" s="115"/>
      <c r="Y241" s="115"/>
      <c r="Z241" s="115"/>
      <c r="AA241" s="115"/>
      <c r="AB241" s="115"/>
      <c r="AC241" s="115"/>
      <c r="AD241" s="115">
        <v>66</v>
      </c>
      <c r="AE241" s="115">
        <v>24.4</v>
      </c>
      <c r="AF241" s="115">
        <v>300</v>
      </c>
      <c r="AG241" s="115">
        <v>7</v>
      </c>
      <c r="AH241" s="115">
        <v>31</v>
      </c>
      <c r="AI241" s="115">
        <v>820</v>
      </c>
      <c r="AJ241" s="115" t="s">
        <v>180</v>
      </c>
      <c r="AK241" s="115">
        <v>20</v>
      </c>
      <c r="AL241" s="115"/>
      <c r="AM241" s="115">
        <v>1</v>
      </c>
      <c r="AN241" s="116" t="s">
        <v>342</v>
      </c>
      <c r="AO241" s="117" t="s">
        <v>203</v>
      </c>
      <c r="AP241" s="115">
        <v>1</v>
      </c>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spans="1:72">
      <c r="A242" s="115">
        <v>2</v>
      </c>
      <c r="B242" s="115" t="s">
        <v>174</v>
      </c>
      <c r="C242" s="115" t="s">
        <v>179</v>
      </c>
      <c r="D242" s="115">
        <v>172176269</v>
      </c>
      <c r="E242" s="115" t="s">
        <v>175</v>
      </c>
      <c r="F242" s="115" t="s">
        <v>114</v>
      </c>
      <c r="G242" s="115">
        <v>2</v>
      </c>
      <c r="H242" s="115" t="s">
        <v>183</v>
      </c>
      <c r="I242" s="115" t="s">
        <v>220</v>
      </c>
      <c r="J242" s="115" t="s">
        <v>232</v>
      </c>
      <c r="K242" s="115" t="s">
        <v>189</v>
      </c>
      <c r="L242" s="115"/>
      <c r="M242" s="115"/>
      <c r="N242" s="115"/>
      <c r="O242" s="115">
        <v>0</v>
      </c>
      <c r="P242" s="115">
        <v>0</v>
      </c>
      <c r="Q242" s="115">
        <v>2</v>
      </c>
      <c r="R242" s="115">
        <v>0</v>
      </c>
      <c r="S242" s="115" t="s">
        <v>179</v>
      </c>
      <c r="T242" s="115">
        <v>2</v>
      </c>
      <c r="U242" s="115">
        <v>3</v>
      </c>
      <c r="V242" s="115"/>
      <c r="W242" s="115"/>
      <c r="X242" s="115"/>
      <c r="Y242" s="115"/>
      <c r="Z242" s="115"/>
      <c r="AA242" s="115"/>
      <c r="AB242" s="115"/>
      <c r="AC242" s="115"/>
      <c r="AD242" s="115">
        <v>60</v>
      </c>
      <c r="AE242" s="115">
        <v>20.399999999999999</v>
      </c>
      <c r="AF242" s="115">
        <v>300</v>
      </c>
      <c r="AG242" s="115">
        <v>7</v>
      </c>
      <c r="AH242" s="115">
        <v>31</v>
      </c>
      <c r="AI242" s="115">
        <v>820</v>
      </c>
      <c r="AJ242" s="115" t="s">
        <v>180</v>
      </c>
      <c r="AK242" s="115">
        <v>20</v>
      </c>
      <c r="AL242" s="115"/>
      <c r="AM242" s="115">
        <v>2</v>
      </c>
      <c r="AN242" s="116" t="s">
        <v>343</v>
      </c>
      <c r="AO242" s="117" t="s">
        <v>203</v>
      </c>
      <c r="AP242" s="115">
        <v>1</v>
      </c>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spans="1:72">
      <c r="A243" s="115">
        <v>1</v>
      </c>
      <c r="B243" s="115" t="s">
        <v>227</v>
      </c>
      <c r="C243" s="115" t="s">
        <v>179</v>
      </c>
      <c r="D243" s="115">
        <v>172176267</v>
      </c>
      <c r="E243" s="115" t="s">
        <v>175</v>
      </c>
      <c r="F243" s="115" t="s">
        <v>114</v>
      </c>
      <c r="G243" s="115">
        <v>2</v>
      </c>
      <c r="H243" s="115" t="s">
        <v>155</v>
      </c>
      <c r="I243" s="115" t="s">
        <v>183</v>
      </c>
      <c r="J243" s="115" t="s">
        <v>232</v>
      </c>
      <c r="K243" s="115" t="s">
        <v>189</v>
      </c>
      <c r="L243" s="115"/>
      <c r="M243" s="115"/>
      <c r="N243" s="115">
        <v>3</v>
      </c>
      <c r="O243" s="115">
        <v>0</v>
      </c>
      <c r="P243" s="115">
        <v>0</v>
      </c>
      <c r="Q243" s="115">
        <v>3</v>
      </c>
      <c r="R243" s="115">
        <v>0</v>
      </c>
      <c r="S243" s="115" t="s">
        <v>179</v>
      </c>
      <c r="T243" s="115">
        <v>1</v>
      </c>
      <c r="U243" s="115">
        <v>3</v>
      </c>
      <c r="V243" s="115"/>
      <c r="W243" s="115"/>
      <c r="X243" s="115"/>
      <c r="Y243" s="115"/>
      <c r="Z243" s="115"/>
      <c r="AA243" s="115"/>
      <c r="AB243" s="115"/>
      <c r="AC243" s="115"/>
      <c r="AD243" s="115">
        <v>66</v>
      </c>
      <c r="AE243" s="115">
        <v>24.4</v>
      </c>
      <c r="AF243" s="115">
        <v>300</v>
      </c>
      <c r="AG243" s="115">
        <v>7</v>
      </c>
      <c r="AH243" s="115">
        <v>31</v>
      </c>
      <c r="AI243" s="115">
        <v>820</v>
      </c>
      <c r="AJ243" s="115" t="s">
        <v>180</v>
      </c>
      <c r="AK243" s="115">
        <v>20</v>
      </c>
      <c r="AL243" s="115"/>
      <c r="AM243" s="115"/>
      <c r="AN243" s="116"/>
      <c r="AO243" s="117" t="s">
        <v>203</v>
      </c>
      <c r="AP243" s="115">
        <v>3</v>
      </c>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spans="1:72">
      <c r="A244" s="115">
        <v>2</v>
      </c>
      <c r="B244" s="115" t="s">
        <v>227</v>
      </c>
      <c r="C244" s="115" t="s">
        <v>157</v>
      </c>
      <c r="D244" s="115">
        <v>172176256</v>
      </c>
      <c r="E244" s="115" t="s">
        <v>175</v>
      </c>
      <c r="F244" s="115" t="s">
        <v>114</v>
      </c>
      <c r="G244" s="115">
        <v>2</v>
      </c>
      <c r="H244" s="115" t="s">
        <v>155</v>
      </c>
      <c r="I244" s="115" t="s">
        <v>183</v>
      </c>
      <c r="J244" s="115" t="s">
        <v>264</v>
      </c>
      <c r="K244" s="115" t="s">
        <v>189</v>
      </c>
      <c r="L244" s="115"/>
      <c r="M244" s="115"/>
      <c r="N244" s="115">
        <v>3</v>
      </c>
      <c r="O244" s="115">
        <v>0</v>
      </c>
      <c r="P244" s="115">
        <v>0</v>
      </c>
      <c r="Q244" s="115">
        <v>3</v>
      </c>
      <c r="R244" s="115">
        <v>1</v>
      </c>
      <c r="S244" s="115" t="s">
        <v>179</v>
      </c>
      <c r="T244" s="115">
        <v>2</v>
      </c>
      <c r="U244" s="115">
        <v>3</v>
      </c>
      <c r="V244" s="115"/>
      <c r="W244" s="115"/>
      <c r="X244" s="115"/>
      <c r="Y244" s="115"/>
      <c r="Z244" s="115"/>
      <c r="AA244" s="115"/>
      <c r="AB244" s="115"/>
      <c r="AC244" s="115"/>
      <c r="AD244" s="115">
        <v>59</v>
      </c>
      <c r="AE244" s="115">
        <v>19.7</v>
      </c>
      <c r="AF244" s="115">
        <v>300</v>
      </c>
      <c r="AG244" s="115">
        <v>7</v>
      </c>
      <c r="AH244" s="115">
        <v>31</v>
      </c>
      <c r="AI244" s="115">
        <v>820</v>
      </c>
      <c r="AJ244" s="115" t="s">
        <v>180</v>
      </c>
      <c r="AK244" s="115">
        <v>20</v>
      </c>
      <c r="AL244" s="115"/>
      <c r="AM244" s="115"/>
      <c r="AN244" s="116"/>
      <c r="AO244" s="117" t="s">
        <v>157</v>
      </c>
      <c r="AP244" s="115">
        <v>3</v>
      </c>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spans="1:72">
      <c r="A245" s="115">
        <v>3</v>
      </c>
      <c r="B245" s="115" t="s">
        <v>227</v>
      </c>
      <c r="C245" s="115" t="s">
        <v>157</v>
      </c>
      <c r="D245" s="115">
        <v>172176253</v>
      </c>
      <c r="E245" s="115" t="s">
        <v>175</v>
      </c>
      <c r="F245" s="115" t="s">
        <v>114</v>
      </c>
      <c r="G245" s="115">
        <v>2</v>
      </c>
      <c r="H245" s="115" t="s">
        <v>155</v>
      </c>
      <c r="I245" s="115" t="s">
        <v>183</v>
      </c>
      <c r="J245" s="115" t="s">
        <v>264</v>
      </c>
      <c r="K245" s="115" t="s">
        <v>189</v>
      </c>
      <c r="L245" s="115"/>
      <c r="M245" s="115"/>
      <c r="N245" s="115">
        <v>3</v>
      </c>
      <c r="O245" s="115">
        <v>0</v>
      </c>
      <c r="P245" s="115">
        <v>0</v>
      </c>
      <c r="Q245" s="115">
        <v>2</v>
      </c>
      <c r="R245" s="115">
        <v>0</v>
      </c>
      <c r="S245" s="115" t="s">
        <v>179</v>
      </c>
      <c r="T245" s="115">
        <v>1</v>
      </c>
      <c r="U245" s="115">
        <v>3</v>
      </c>
      <c r="V245" s="115"/>
      <c r="W245" s="115"/>
      <c r="X245" s="115"/>
      <c r="Y245" s="115"/>
      <c r="Z245" s="115"/>
      <c r="AA245" s="115"/>
      <c r="AB245" s="115"/>
      <c r="AC245" s="115"/>
      <c r="AD245" s="115">
        <v>64</v>
      </c>
      <c r="AE245" s="115">
        <v>22.5</v>
      </c>
      <c r="AF245" s="115">
        <v>300</v>
      </c>
      <c r="AG245" s="115">
        <v>7</v>
      </c>
      <c r="AH245" s="115">
        <v>31</v>
      </c>
      <c r="AI245" s="115">
        <v>820</v>
      </c>
      <c r="AJ245" s="115" t="s">
        <v>180</v>
      </c>
      <c r="AK245" s="115">
        <v>20</v>
      </c>
      <c r="AL245" s="115"/>
      <c r="AM245" s="115">
        <v>1</v>
      </c>
      <c r="AN245" s="116" t="s">
        <v>352</v>
      </c>
      <c r="AO245" s="117" t="s">
        <v>157</v>
      </c>
      <c r="AP245" s="115">
        <v>3</v>
      </c>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spans="1:72">
      <c r="A246" s="115">
        <v>2</v>
      </c>
      <c r="B246" s="115" t="s">
        <v>355</v>
      </c>
      <c r="C246" s="115" t="s">
        <v>179</v>
      </c>
      <c r="D246" s="115">
        <v>288029978</v>
      </c>
      <c r="E246" s="115" t="s">
        <v>238</v>
      </c>
      <c r="F246" s="115" t="s">
        <v>87</v>
      </c>
      <c r="G246" s="115">
        <v>2</v>
      </c>
      <c r="H246" s="115" t="s">
        <v>183</v>
      </c>
      <c r="I246" s="115" t="s">
        <v>155</v>
      </c>
      <c r="J246" s="115" t="s">
        <v>264</v>
      </c>
      <c r="K246" s="115" t="s">
        <v>189</v>
      </c>
      <c r="L246" s="115"/>
      <c r="M246" s="115"/>
      <c r="N246" s="115">
        <v>4</v>
      </c>
      <c r="O246" s="115">
        <v>0</v>
      </c>
      <c r="P246" s="115">
        <v>0</v>
      </c>
      <c r="Q246" s="115">
        <v>2</v>
      </c>
      <c r="R246" s="115">
        <v>2</v>
      </c>
      <c r="S246" s="115" t="s">
        <v>179</v>
      </c>
      <c r="T246" s="115">
        <v>1</v>
      </c>
      <c r="U246" s="115">
        <v>2</v>
      </c>
      <c r="V246" s="115"/>
      <c r="W246" s="115"/>
      <c r="X246" s="115"/>
      <c r="Y246" s="115"/>
      <c r="Z246" s="115"/>
      <c r="AA246" s="115"/>
      <c r="AB246" s="115"/>
      <c r="AC246" s="115"/>
      <c r="AD246" s="115">
        <v>53</v>
      </c>
      <c r="AE246" s="115">
        <v>10.4</v>
      </c>
      <c r="AF246" s="115">
        <v>300</v>
      </c>
      <c r="AG246" s="115">
        <v>7</v>
      </c>
      <c r="AH246" s="115">
        <v>31</v>
      </c>
      <c r="AI246" s="115">
        <v>820</v>
      </c>
      <c r="AJ246" s="115" t="s">
        <v>180</v>
      </c>
      <c r="AK246" s="115">
        <v>20</v>
      </c>
      <c r="AL246" s="115"/>
      <c r="AM246" s="115"/>
      <c r="AN246" s="116"/>
      <c r="AO246" s="117">
        <v>0</v>
      </c>
      <c r="AP246" s="115">
        <v>4</v>
      </c>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spans="1:72">
      <c r="A247" s="115">
        <v>3</v>
      </c>
      <c r="B247" s="115" t="s">
        <v>355</v>
      </c>
      <c r="C247" s="115" t="s">
        <v>213</v>
      </c>
      <c r="D247" s="115">
        <v>288029977</v>
      </c>
      <c r="E247" s="115" t="s">
        <v>356</v>
      </c>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v>7</v>
      </c>
      <c r="AH247" s="115">
        <v>31</v>
      </c>
      <c r="AI247" s="115">
        <v>820</v>
      </c>
      <c r="AJ247" s="115" t="s">
        <v>180</v>
      </c>
      <c r="AK247" s="115"/>
      <c r="AL247" s="115"/>
      <c r="AM247" s="115">
        <v>1</v>
      </c>
      <c r="AN247" s="116" t="s">
        <v>357</v>
      </c>
      <c r="AO247" s="117">
        <v>0</v>
      </c>
      <c r="AP247" s="115">
        <v>4</v>
      </c>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spans="1:72">
      <c r="A248" s="115">
        <v>1</v>
      </c>
      <c r="B248" s="115" t="s">
        <v>207</v>
      </c>
      <c r="C248" s="115" t="s">
        <v>179</v>
      </c>
      <c r="D248" s="115">
        <v>172176266</v>
      </c>
      <c r="E248" s="115" t="s">
        <v>175</v>
      </c>
      <c r="F248" s="115" t="s">
        <v>114</v>
      </c>
      <c r="G248" s="115">
        <v>2</v>
      </c>
      <c r="H248" s="115" t="s">
        <v>183</v>
      </c>
      <c r="I248" s="115"/>
      <c r="J248" s="115" t="s">
        <v>232</v>
      </c>
      <c r="K248" s="115"/>
      <c r="L248" s="115"/>
      <c r="M248" s="115"/>
      <c r="N248" s="115"/>
      <c r="O248" s="115">
        <v>0</v>
      </c>
      <c r="P248" s="115">
        <v>0</v>
      </c>
      <c r="Q248" s="115">
        <v>0</v>
      </c>
      <c r="R248" s="115">
        <v>0</v>
      </c>
      <c r="S248" s="115" t="s">
        <v>179</v>
      </c>
      <c r="T248" s="115">
        <v>1</v>
      </c>
      <c r="U248" s="115">
        <v>3</v>
      </c>
      <c r="V248" s="115" t="s">
        <v>183</v>
      </c>
      <c r="W248" s="115"/>
      <c r="X248" s="115"/>
      <c r="Y248" s="115"/>
      <c r="Z248" s="115"/>
      <c r="AA248" s="115"/>
      <c r="AB248" s="115"/>
      <c r="AC248" s="115"/>
      <c r="AD248" s="115">
        <v>65</v>
      </c>
      <c r="AE248" s="115">
        <v>23.8</v>
      </c>
      <c r="AF248" s="115">
        <v>300</v>
      </c>
      <c r="AG248" s="115">
        <v>7</v>
      </c>
      <c r="AH248" s="115">
        <v>31</v>
      </c>
      <c r="AI248" s="115">
        <v>830</v>
      </c>
      <c r="AJ248" s="115" t="s">
        <v>180</v>
      </c>
      <c r="AK248" s="115">
        <v>20</v>
      </c>
      <c r="AL248" s="115"/>
      <c r="AM248" s="115"/>
      <c r="AN248" s="116"/>
      <c r="AO248" s="117" t="s">
        <v>203</v>
      </c>
      <c r="AP248" s="115">
        <v>2</v>
      </c>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spans="1:72">
      <c r="A249" s="115">
        <v>2</v>
      </c>
      <c r="B249" s="115" t="s">
        <v>207</v>
      </c>
      <c r="C249" s="115" t="s">
        <v>179</v>
      </c>
      <c r="D249" s="115">
        <v>172176270</v>
      </c>
      <c r="E249" s="115" t="s">
        <v>175</v>
      </c>
      <c r="F249" s="115" t="s">
        <v>114</v>
      </c>
      <c r="G249" s="115">
        <v>2</v>
      </c>
      <c r="H249" s="115" t="s">
        <v>183</v>
      </c>
      <c r="I249" s="115"/>
      <c r="J249" s="115" t="s">
        <v>232</v>
      </c>
      <c r="K249" s="115"/>
      <c r="L249" s="115"/>
      <c r="M249" s="115"/>
      <c r="N249" s="115"/>
      <c r="O249" s="115">
        <v>0</v>
      </c>
      <c r="P249" s="115">
        <v>0</v>
      </c>
      <c r="Q249" s="115">
        <v>1</v>
      </c>
      <c r="R249" s="115">
        <v>0</v>
      </c>
      <c r="S249" s="115" t="s">
        <v>179</v>
      </c>
      <c r="T249" s="115">
        <v>1</v>
      </c>
      <c r="U249" s="115">
        <v>3</v>
      </c>
      <c r="V249" s="115" t="s">
        <v>183</v>
      </c>
      <c r="W249" s="115"/>
      <c r="X249" s="115"/>
      <c r="Y249" s="115"/>
      <c r="Z249" s="115"/>
      <c r="AA249" s="115" t="s">
        <v>183</v>
      </c>
      <c r="AB249" s="115"/>
      <c r="AC249" s="115"/>
      <c r="AD249" s="115">
        <v>61</v>
      </c>
      <c r="AE249" s="115">
        <v>21.2</v>
      </c>
      <c r="AF249" s="115">
        <v>300</v>
      </c>
      <c r="AG249" s="115">
        <v>7</v>
      </c>
      <c r="AH249" s="115">
        <v>31</v>
      </c>
      <c r="AI249" s="115">
        <v>830</v>
      </c>
      <c r="AJ249" s="115" t="s">
        <v>180</v>
      </c>
      <c r="AK249" s="115">
        <v>20</v>
      </c>
      <c r="AL249" s="115"/>
      <c r="AM249" s="115">
        <v>2</v>
      </c>
      <c r="AN249" s="116" t="s">
        <v>349</v>
      </c>
      <c r="AO249" s="117" t="s">
        <v>203</v>
      </c>
      <c r="AP249" s="115">
        <v>2</v>
      </c>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spans="1:72">
      <c r="A250" s="115">
        <v>4</v>
      </c>
      <c r="B250" s="115" t="s">
        <v>355</v>
      </c>
      <c r="C250" s="115" t="s">
        <v>157</v>
      </c>
      <c r="D250" s="115">
        <v>172176254</v>
      </c>
      <c r="E250" s="115" t="s">
        <v>194</v>
      </c>
      <c r="F250" s="115" t="s">
        <v>98</v>
      </c>
      <c r="G250" s="115">
        <v>2</v>
      </c>
      <c r="H250" s="115" t="s">
        <v>183</v>
      </c>
      <c r="I250" s="115"/>
      <c r="J250" s="115" t="s">
        <v>200</v>
      </c>
      <c r="K250" s="115" t="s">
        <v>189</v>
      </c>
      <c r="L250" s="115"/>
      <c r="M250" s="115"/>
      <c r="N250" s="115">
        <v>3</v>
      </c>
      <c r="O250" s="115">
        <v>0</v>
      </c>
      <c r="P250" s="115">
        <v>0</v>
      </c>
      <c r="Q250" s="115">
        <v>1</v>
      </c>
      <c r="R250" s="115">
        <v>2</v>
      </c>
      <c r="S250" s="115" t="s">
        <v>179</v>
      </c>
      <c r="T250" s="115">
        <v>1</v>
      </c>
      <c r="U250" s="115">
        <v>3</v>
      </c>
      <c r="V250" s="115"/>
      <c r="W250" s="115"/>
      <c r="X250" s="115"/>
      <c r="Y250" s="115"/>
      <c r="Z250" s="115"/>
      <c r="AA250" s="115"/>
      <c r="AB250" s="115"/>
      <c r="AC250" s="115"/>
      <c r="AD250" s="115">
        <v>91</v>
      </c>
      <c r="AE250" s="115">
        <v>29.1</v>
      </c>
      <c r="AF250" s="115">
        <v>300</v>
      </c>
      <c r="AG250" s="115">
        <v>7</v>
      </c>
      <c r="AH250" s="115">
        <v>31</v>
      </c>
      <c r="AI250" s="115">
        <v>850</v>
      </c>
      <c r="AJ250" s="115" t="s">
        <v>180</v>
      </c>
      <c r="AK250" s="115">
        <v>10</v>
      </c>
      <c r="AL250" s="115"/>
      <c r="AM250" s="115"/>
      <c r="AN250" s="116"/>
      <c r="AO250" s="117" t="s">
        <v>157</v>
      </c>
      <c r="AP250" s="115">
        <v>4</v>
      </c>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spans="1:72">
      <c r="A251" s="115">
        <v>3</v>
      </c>
      <c r="B251" s="115" t="s">
        <v>174</v>
      </c>
      <c r="C251" s="115" t="s">
        <v>157</v>
      </c>
      <c r="D251" s="115">
        <v>283105232</v>
      </c>
      <c r="E251" s="115" t="s">
        <v>194</v>
      </c>
      <c r="F251" s="115" t="s">
        <v>98</v>
      </c>
      <c r="G251" s="115">
        <v>1</v>
      </c>
      <c r="H251" s="115" t="s">
        <v>22</v>
      </c>
      <c r="I251" s="115"/>
      <c r="J251" s="115" t="s">
        <v>176</v>
      </c>
      <c r="K251" s="115" t="s">
        <v>177</v>
      </c>
      <c r="L251" s="115" t="s">
        <v>178</v>
      </c>
      <c r="M251" s="115"/>
      <c r="N251" s="115"/>
      <c r="O251" s="115">
        <v>0</v>
      </c>
      <c r="P251" s="115">
        <v>4</v>
      </c>
      <c r="Q251" s="115">
        <v>1</v>
      </c>
      <c r="R251" s="115">
        <v>1</v>
      </c>
      <c r="S251" s="115" t="s">
        <v>179</v>
      </c>
      <c r="T251" s="115">
        <v>2</v>
      </c>
      <c r="U251" s="115"/>
      <c r="V251" s="115"/>
      <c r="W251" s="115"/>
      <c r="X251" s="115"/>
      <c r="Y251" s="115"/>
      <c r="Z251" s="115"/>
      <c r="AA251" s="115"/>
      <c r="AB251" s="115"/>
      <c r="AC251" s="115"/>
      <c r="AD251" s="115">
        <v>92</v>
      </c>
      <c r="AE251" s="115">
        <v>27.6</v>
      </c>
      <c r="AF251" s="115">
        <v>300</v>
      </c>
      <c r="AG251" s="115">
        <v>7</v>
      </c>
      <c r="AH251" s="115">
        <v>31</v>
      </c>
      <c r="AI251" s="115">
        <v>920</v>
      </c>
      <c r="AJ251" s="115" t="s">
        <v>180</v>
      </c>
      <c r="AK251" s="115">
        <v>8</v>
      </c>
      <c r="AL251" s="115"/>
      <c r="AM251" s="115"/>
      <c r="AN251" s="116"/>
      <c r="AO251" s="117" t="s">
        <v>157</v>
      </c>
      <c r="AP251" s="115">
        <v>1</v>
      </c>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spans="1:72">
      <c r="A252" s="115">
        <v>4</v>
      </c>
      <c r="B252" s="115" t="s">
        <v>227</v>
      </c>
      <c r="C252" s="115" t="s">
        <v>179</v>
      </c>
      <c r="D252" s="115">
        <v>172176271</v>
      </c>
      <c r="E252" s="115" t="s">
        <v>206</v>
      </c>
      <c r="F252" s="115" t="s">
        <v>105</v>
      </c>
      <c r="G252" s="115">
        <v>1</v>
      </c>
      <c r="H252" s="115" t="s">
        <v>155</v>
      </c>
      <c r="I252" s="115" t="s">
        <v>22</v>
      </c>
      <c r="J252" s="115" t="s">
        <v>344</v>
      </c>
      <c r="K252" s="115" t="s">
        <v>186</v>
      </c>
      <c r="L252" s="115" t="s">
        <v>22</v>
      </c>
      <c r="M252" s="115" t="s">
        <v>1</v>
      </c>
      <c r="N252" s="115">
        <v>6</v>
      </c>
      <c r="O252" s="115">
        <v>2</v>
      </c>
      <c r="P252" s="115">
        <v>0</v>
      </c>
      <c r="Q252" s="115">
        <v>1</v>
      </c>
      <c r="R252" s="115">
        <v>0</v>
      </c>
      <c r="S252" s="115" t="s">
        <v>155</v>
      </c>
      <c r="T252" s="115">
        <v>3</v>
      </c>
      <c r="U252" s="115"/>
      <c r="V252" s="115"/>
      <c r="W252" s="115"/>
      <c r="X252" s="115"/>
      <c r="Y252" s="115"/>
      <c r="Z252" s="115"/>
      <c r="AA252" s="115"/>
      <c r="AB252" s="115"/>
      <c r="AC252" s="115"/>
      <c r="AD252" s="115">
        <v>81</v>
      </c>
      <c r="AE252" s="115">
        <v>26</v>
      </c>
      <c r="AF252" s="115">
        <v>300</v>
      </c>
      <c r="AG252" s="115">
        <v>7</v>
      </c>
      <c r="AH252" s="115">
        <v>31</v>
      </c>
      <c r="AI252" s="115">
        <v>920</v>
      </c>
      <c r="AJ252" s="115" t="s">
        <v>180</v>
      </c>
      <c r="AK252" s="115">
        <v>6</v>
      </c>
      <c r="AL252" s="115"/>
      <c r="AM252" s="115">
        <v>2</v>
      </c>
      <c r="AN252" s="116" t="s">
        <v>353</v>
      </c>
      <c r="AO252" s="117" t="s">
        <v>203</v>
      </c>
      <c r="AP252" s="115">
        <v>3</v>
      </c>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spans="1:72">
      <c r="A253" s="115">
        <v>5</v>
      </c>
      <c r="B253" s="115" t="s">
        <v>355</v>
      </c>
      <c r="C253" s="115" t="s">
        <v>157</v>
      </c>
      <c r="D253" s="115">
        <v>172176261</v>
      </c>
      <c r="E253" s="115" t="s">
        <v>194</v>
      </c>
      <c r="F253" s="115" t="s">
        <v>98</v>
      </c>
      <c r="G253" s="115">
        <v>2</v>
      </c>
      <c r="H253" s="115" t="s">
        <v>183</v>
      </c>
      <c r="I253" s="115"/>
      <c r="J253" s="115" t="s">
        <v>264</v>
      </c>
      <c r="K253" s="115" t="s">
        <v>189</v>
      </c>
      <c r="L253" s="115"/>
      <c r="M253" s="115"/>
      <c r="N253" s="115">
        <v>2</v>
      </c>
      <c r="O253" s="115">
        <v>0</v>
      </c>
      <c r="P253" s="115">
        <v>0</v>
      </c>
      <c r="Q253" s="115">
        <v>1</v>
      </c>
      <c r="R253" s="115">
        <v>3</v>
      </c>
      <c r="S253" s="115" t="s">
        <v>179</v>
      </c>
      <c r="T253" s="115">
        <v>1</v>
      </c>
      <c r="U253" s="115">
        <v>1</v>
      </c>
      <c r="V253" s="115"/>
      <c r="W253" s="115"/>
      <c r="X253" s="115"/>
      <c r="Y253" s="115"/>
      <c r="Z253" s="115"/>
      <c r="AA253" s="115"/>
      <c r="AB253" s="115"/>
      <c r="AC253" s="115"/>
      <c r="AD253" s="115">
        <v>96</v>
      </c>
      <c r="AE253" s="115">
        <v>32.299999999999997</v>
      </c>
      <c r="AF253" s="115">
        <v>300</v>
      </c>
      <c r="AG253" s="115">
        <v>7</v>
      </c>
      <c r="AH253" s="115">
        <v>31</v>
      </c>
      <c r="AI253" s="115">
        <v>920</v>
      </c>
      <c r="AJ253" s="115" t="s">
        <v>180</v>
      </c>
      <c r="AK253" s="115">
        <v>20</v>
      </c>
      <c r="AL253" s="115"/>
      <c r="AM253" s="115">
        <v>2</v>
      </c>
      <c r="AN253" s="116" t="s">
        <v>358</v>
      </c>
      <c r="AO253" s="117" t="s">
        <v>157</v>
      </c>
      <c r="AP253" s="115">
        <v>4</v>
      </c>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spans="1:72">
      <c r="A254" s="115">
        <v>4</v>
      </c>
      <c r="B254" s="115" t="s">
        <v>174</v>
      </c>
      <c r="C254" s="115" t="s">
        <v>157</v>
      </c>
      <c r="D254" s="115">
        <v>288029964</v>
      </c>
      <c r="E254" s="115" t="s">
        <v>238</v>
      </c>
      <c r="F254" s="115" t="s">
        <v>87</v>
      </c>
      <c r="G254" s="115">
        <v>1</v>
      </c>
      <c r="H254" s="115" t="s">
        <v>186</v>
      </c>
      <c r="I254" s="115" t="s">
        <v>22</v>
      </c>
      <c r="J254" s="115" t="s">
        <v>344</v>
      </c>
      <c r="K254" s="115" t="s">
        <v>177</v>
      </c>
      <c r="L254" s="115" t="s">
        <v>178</v>
      </c>
      <c r="M254" s="115"/>
      <c r="N254" s="115"/>
      <c r="O254" s="115">
        <v>0</v>
      </c>
      <c r="P254" s="115">
        <v>5</v>
      </c>
      <c r="Q254" s="115">
        <v>3</v>
      </c>
      <c r="R254" s="115">
        <v>4</v>
      </c>
      <c r="S254" s="115" t="s">
        <v>155</v>
      </c>
      <c r="T254" s="115">
        <v>3</v>
      </c>
      <c r="U254" s="115"/>
      <c r="V254" s="115"/>
      <c r="W254" s="115"/>
      <c r="X254" s="115"/>
      <c r="Y254" s="115"/>
      <c r="Z254" s="115"/>
      <c r="AA254" s="115"/>
      <c r="AB254" s="115"/>
      <c r="AC254" s="115"/>
      <c r="AD254" s="115">
        <v>59</v>
      </c>
      <c r="AE254" s="115">
        <v>10.8</v>
      </c>
      <c r="AF254" s="115">
        <v>300</v>
      </c>
      <c r="AG254" s="115">
        <v>7</v>
      </c>
      <c r="AH254" s="115">
        <v>31</v>
      </c>
      <c r="AI254" s="115">
        <v>950</v>
      </c>
      <c r="AJ254" s="115" t="s">
        <v>180</v>
      </c>
      <c r="AK254" s="115">
        <v>14</v>
      </c>
      <c r="AL254" s="115"/>
      <c r="AM254" s="115">
        <v>3</v>
      </c>
      <c r="AN254" s="116" t="s">
        <v>345</v>
      </c>
      <c r="AO254" s="117" t="s">
        <v>157</v>
      </c>
      <c r="AP254" s="115">
        <v>1</v>
      </c>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spans="1:72">
      <c r="A255" s="115">
        <v>4</v>
      </c>
      <c r="B255" s="115" t="s">
        <v>207</v>
      </c>
      <c r="C255" s="115" t="s">
        <v>179</v>
      </c>
      <c r="D255" s="115">
        <v>288029981</v>
      </c>
      <c r="E255" s="115" t="s">
        <v>238</v>
      </c>
      <c r="F255" s="115" t="s">
        <v>87</v>
      </c>
      <c r="G255" s="115">
        <v>2</v>
      </c>
      <c r="H255" s="115" t="s">
        <v>183</v>
      </c>
      <c r="I255" s="115"/>
      <c r="J255" s="115" t="s">
        <v>232</v>
      </c>
      <c r="K255" s="115"/>
      <c r="L255" s="115"/>
      <c r="M255" s="115"/>
      <c r="N255" s="115">
        <v>2</v>
      </c>
      <c r="O255" s="115">
        <v>0</v>
      </c>
      <c r="P255" s="115">
        <v>0</v>
      </c>
      <c r="Q255" s="115">
        <v>1</v>
      </c>
      <c r="R255" s="115">
        <v>0</v>
      </c>
      <c r="S255" s="115" t="s">
        <v>179</v>
      </c>
      <c r="T255" s="115">
        <v>1</v>
      </c>
      <c r="U255" s="115">
        <v>3</v>
      </c>
      <c r="V255" s="115"/>
      <c r="W255" s="115"/>
      <c r="X255" s="115"/>
      <c r="Y255" s="115"/>
      <c r="Z255" s="115"/>
      <c r="AA255" s="115"/>
      <c r="AB255" s="115"/>
      <c r="AC255" s="115"/>
      <c r="AD255" s="115">
        <v>60</v>
      </c>
      <c r="AE255" s="115">
        <v>10.4</v>
      </c>
      <c r="AF255" s="115">
        <v>300</v>
      </c>
      <c r="AG255" s="115">
        <v>7</v>
      </c>
      <c r="AH255" s="115">
        <v>31</v>
      </c>
      <c r="AI255" s="115">
        <v>950</v>
      </c>
      <c r="AJ255" s="115" t="s">
        <v>180</v>
      </c>
      <c r="AK255" s="115">
        <v>14</v>
      </c>
      <c r="AL255" s="115"/>
      <c r="AM255" s="115">
        <v>4</v>
      </c>
      <c r="AN255" s="116" t="s">
        <v>351</v>
      </c>
      <c r="AO255" s="117">
        <v>0</v>
      </c>
      <c r="AP255" s="115">
        <v>2</v>
      </c>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spans="1:72">
      <c r="A256" s="115">
        <v>5</v>
      </c>
      <c r="B256" s="115" t="s">
        <v>227</v>
      </c>
      <c r="C256" s="115" t="s">
        <v>179</v>
      </c>
      <c r="D256" s="115">
        <v>288029980</v>
      </c>
      <c r="E256" s="115" t="s">
        <v>238</v>
      </c>
      <c r="F256" s="115" t="s">
        <v>87</v>
      </c>
      <c r="G256" s="115">
        <v>2</v>
      </c>
      <c r="H256" s="115" t="s">
        <v>155</v>
      </c>
      <c r="I256" s="115"/>
      <c r="J256" s="115" t="s">
        <v>232</v>
      </c>
      <c r="K256" s="115" t="s">
        <v>189</v>
      </c>
      <c r="L256" s="115"/>
      <c r="M256" s="115"/>
      <c r="N256" s="115">
        <v>4</v>
      </c>
      <c r="O256" s="115">
        <v>0</v>
      </c>
      <c r="P256" s="115">
        <v>0</v>
      </c>
      <c r="Q256" s="115">
        <v>1</v>
      </c>
      <c r="R256" s="115">
        <v>0</v>
      </c>
      <c r="S256" s="115" t="s">
        <v>179</v>
      </c>
      <c r="T256" s="115">
        <v>1</v>
      </c>
      <c r="U256" s="115">
        <v>3</v>
      </c>
      <c r="V256" s="115"/>
      <c r="W256" s="115"/>
      <c r="X256" s="115"/>
      <c r="Y256" s="115"/>
      <c r="Z256" s="115"/>
      <c r="AA256" s="115"/>
      <c r="AB256" s="115"/>
      <c r="AC256" s="115"/>
      <c r="AD256" s="115">
        <v>63</v>
      </c>
      <c r="AE256" s="115">
        <v>10.7</v>
      </c>
      <c r="AF256" s="115">
        <v>300</v>
      </c>
      <c r="AG256" s="115">
        <v>7</v>
      </c>
      <c r="AH256" s="115">
        <v>31</v>
      </c>
      <c r="AI256" s="115">
        <v>950</v>
      </c>
      <c r="AJ256" s="115" t="s">
        <v>180</v>
      </c>
      <c r="AK256" s="115">
        <v>10</v>
      </c>
      <c r="AL256" s="115"/>
      <c r="AM256" s="115"/>
      <c r="AN256" s="116"/>
      <c r="AO256" s="118">
        <v>0</v>
      </c>
      <c r="AP256" s="115">
        <v>3</v>
      </c>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spans="1:72">
      <c r="A257" s="115">
        <v>6</v>
      </c>
      <c r="B257" s="115" t="s">
        <v>227</v>
      </c>
      <c r="C257" s="115" t="s">
        <v>157</v>
      </c>
      <c r="D257" s="115">
        <v>291032203</v>
      </c>
      <c r="E257" s="115" t="s">
        <v>238</v>
      </c>
      <c r="F257" s="115" t="s">
        <v>87</v>
      </c>
      <c r="G257" s="115">
        <v>1</v>
      </c>
      <c r="H257" s="115" t="s">
        <v>155</v>
      </c>
      <c r="I257" s="115" t="s">
        <v>22</v>
      </c>
      <c r="J257" s="115" t="s">
        <v>344</v>
      </c>
      <c r="K257" s="115" t="s">
        <v>189</v>
      </c>
      <c r="L257" s="115"/>
      <c r="M257" s="115"/>
      <c r="N257" s="115">
        <v>6</v>
      </c>
      <c r="O257" s="115">
        <v>0</v>
      </c>
      <c r="P257" s="115">
        <v>0</v>
      </c>
      <c r="Q257" s="115">
        <v>3</v>
      </c>
      <c r="R257" s="115">
        <v>4</v>
      </c>
      <c r="S257" s="115" t="s">
        <v>155</v>
      </c>
      <c r="T257" s="115">
        <v>1</v>
      </c>
      <c r="U257" s="115"/>
      <c r="V257" s="115"/>
      <c r="W257" s="115"/>
      <c r="X257" s="115"/>
      <c r="Y257" s="115"/>
      <c r="Z257" s="115"/>
      <c r="AA257" s="115"/>
      <c r="AB257" s="115"/>
      <c r="AC257" s="115"/>
      <c r="AD257" s="115">
        <v>59</v>
      </c>
      <c r="AE257" s="115">
        <v>11.5</v>
      </c>
      <c r="AF257" s="115">
        <v>300</v>
      </c>
      <c r="AG257" s="115">
        <v>7</v>
      </c>
      <c r="AH257" s="115">
        <v>31</v>
      </c>
      <c r="AI257" s="115">
        <v>950</v>
      </c>
      <c r="AJ257" s="115" t="s">
        <v>180</v>
      </c>
      <c r="AK257" s="115">
        <v>14</v>
      </c>
      <c r="AL257" s="115"/>
      <c r="AM257" s="115">
        <v>3</v>
      </c>
      <c r="AN257" s="116" t="s">
        <v>354</v>
      </c>
      <c r="AO257" s="117" t="s">
        <v>157</v>
      </c>
      <c r="AP257" s="115">
        <v>3</v>
      </c>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spans="1:72">
      <c r="A258" s="115">
        <v>6</v>
      </c>
      <c r="B258" s="115" t="s">
        <v>355</v>
      </c>
      <c r="C258" s="115" t="s">
        <v>157</v>
      </c>
      <c r="D258" s="115">
        <v>288029975</v>
      </c>
      <c r="E258" s="115" t="s">
        <v>238</v>
      </c>
      <c r="F258" s="115" t="s">
        <v>87</v>
      </c>
      <c r="G258" s="115">
        <v>2</v>
      </c>
      <c r="H258" s="115" t="s">
        <v>183</v>
      </c>
      <c r="I258" s="115" t="s">
        <v>155</v>
      </c>
      <c r="J258" s="115" t="s">
        <v>200</v>
      </c>
      <c r="K258" s="115" t="s">
        <v>189</v>
      </c>
      <c r="L258" s="115"/>
      <c r="M258" s="115"/>
      <c r="N258" s="115">
        <v>3</v>
      </c>
      <c r="O258" s="115">
        <v>0</v>
      </c>
      <c r="P258" s="115">
        <v>0</v>
      </c>
      <c r="Q258" s="115">
        <v>2</v>
      </c>
      <c r="R258" s="115">
        <v>3</v>
      </c>
      <c r="S258" s="115" t="s">
        <v>179</v>
      </c>
      <c r="T258" s="115">
        <v>1</v>
      </c>
      <c r="U258" s="115">
        <v>3</v>
      </c>
      <c r="V258" s="115"/>
      <c r="W258" s="115"/>
      <c r="X258" s="115"/>
      <c r="Y258" s="115"/>
      <c r="Z258" s="115"/>
      <c r="AA258" s="115"/>
      <c r="AB258" s="115"/>
      <c r="AC258" s="115"/>
      <c r="AD258" s="115">
        <v>60</v>
      </c>
      <c r="AE258" s="115">
        <v>10.7</v>
      </c>
      <c r="AF258" s="115">
        <v>300</v>
      </c>
      <c r="AG258" s="115">
        <v>7</v>
      </c>
      <c r="AH258" s="115">
        <v>31</v>
      </c>
      <c r="AI258" s="115">
        <v>950</v>
      </c>
      <c r="AJ258" s="115" t="s">
        <v>180</v>
      </c>
      <c r="AK258" s="115">
        <v>10</v>
      </c>
      <c r="AL258" s="115"/>
      <c r="AM258" s="115"/>
      <c r="AN258" s="116"/>
      <c r="AO258" s="117" t="s">
        <v>157</v>
      </c>
      <c r="AP258" s="115">
        <v>4</v>
      </c>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spans="1:72">
      <c r="A259" s="115">
        <v>6</v>
      </c>
      <c r="B259" s="115" t="s">
        <v>207</v>
      </c>
      <c r="C259" s="115" t="s">
        <v>189</v>
      </c>
      <c r="D259" s="115"/>
      <c r="E259" s="115" t="s">
        <v>193</v>
      </c>
      <c r="F259" s="115" t="s">
        <v>32</v>
      </c>
      <c r="G259" s="115">
        <v>5</v>
      </c>
      <c r="H259" s="115" t="s">
        <v>22</v>
      </c>
      <c r="I259" s="115"/>
      <c r="J259" s="115" t="s">
        <v>182</v>
      </c>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v>7</v>
      </c>
      <c r="AH259" s="115">
        <v>31</v>
      </c>
      <c r="AI259" s="115">
        <v>1040</v>
      </c>
      <c r="AJ259" s="115" t="s">
        <v>180</v>
      </c>
      <c r="AK259" s="115">
        <v>15</v>
      </c>
      <c r="AL259" s="115"/>
      <c r="AM259" s="115"/>
      <c r="AN259" s="116"/>
      <c r="AO259" s="117" t="s">
        <v>189</v>
      </c>
      <c r="AP259" s="115">
        <v>2</v>
      </c>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spans="1:72">
      <c r="A260" s="115">
        <v>5</v>
      </c>
      <c r="B260" s="115" t="s">
        <v>207</v>
      </c>
      <c r="C260" s="115" t="s">
        <v>179</v>
      </c>
      <c r="D260" s="115">
        <v>172176272</v>
      </c>
      <c r="E260" s="115" t="s">
        <v>175</v>
      </c>
      <c r="F260" s="115" t="s">
        <v>114</v>
      </c>
      <c r="G260" s="115">
        <v>2</v>
      </c>
      <c r="H260" s="115" t="s">
        <v>183</v>
      </c>
      <c r="I260" s="115"/>
      <c r="J260" s="115" t="s">
        <v>232</v>
      </c>
      <c r="K260" s="115"/>
      <c r="L260" s="115"/>
      <c r="M260" s="115"/>
      <c r="N260" s="115"/>
      <c r="O260" s="115">
        <v>0</v>
      </c>
      <c r="P260" s="115">
        <v>0</v>
      </c>
      <c r="Q260" s="115">
        <v>1</v>
      </c>
      <c r="R260" s="115">
        <v>0</v>
      </c>
      <c r="S260" s="115" t="s">
        <v>179</v>
      </c>
      <c r="T260" s="115">
        <v>1</v>
      </c>
      <c r="U260" s="115">
        <v>3</v>
      </c>
      <c r="V260" s="115"/>
      <c r="W260" s="115"/>
      <c r="X260" s="115"/>
      <c r="Y260" s="115"/>
      <c r="Z260" s="115"/>
      <c r="AA260" s="115"/>
      <c r="AB260" s="115"/>
      <c r="AC260" s="115"/>
      <c r="AD260" s="115">
        <v>59</v>
      </c>
      <c r="AE260" s="115">
        <v>19.600000000000001</v>
      </c>
      <c r="AF260" s="115">
        <v>300</v>
      </c>
      <c r="AG260" s="115">
        <v>7</v>
      </c>
      <c r="AH260" s="115">
        <v>31</v>
      </c>
      <c r="AI260" s="115">
        <v>1110</v>
      </c>
      <c r="AJ260" s="115" t="s">
        <v>180</v>
      </c>
      <c r="AK260" s="115">
        <v>21</v>
      </c>
      <c r="AL260" s="115"/>
      <c r="AM260" s="115"/>
      <c r="AN260" s="116"/>
      <c r="AO260" s="117" t="s">
        <v>203</v>
      </c>
      <c r="AP260" s="115">
        <v>2</v>
      </c>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spans="1:72">
      <c r="A261" s="115">
        <v>7</v>
      </c>
      <c r="B261" s="115" t="s">
        <v>174</v>
      </c>
      <c r="C261" s="115" t="s">
        <v>157</v>
      </c>
      <c r="D261" s="115">
        <v>271150871</v>
      </c>
      <c r="E261" s="115" t="s">
        <v>194</v>
      </c>
      <c r="F261" s="115" t="s">
        <v>98</v>
      </c>
      <c r="G261" s="115">
        <v>1</v>
      </c>
      <c r="H261" s="115" t="s">
        <v>22</v>
      </c>
      <c r="I261" s="115"/>
      <c r="J261" s="115" t="s">
        <v>176</v>
      </c>
      <c r="K261" s="115" t="s">
        <v>177</v>
      </c>
      <c r="L261" s="115" t="s">
        <v>178</v>
      </c>
      <c r="M261" s="115"/>
      <c r="N261" s="115"/>
      <c r="O261" s="115">
        <v>0</v>
      </c>
      <c r="P261" s="115">
        <v>3</v>
      </c>
      <c r="Q261" s="115">
        <v>1</v>
      </c>
      <c r="R261" s="115">
        <v>0</v>
      </c>
      <c r="S261" s="115" t="s">
        <v>179</v>
      </c>
      <c r="T261" s="115">
        <v>2</v>
      </c>
      <c r="U261" s="115"/>
      <c r="V261" s="115"/>
      <c r="W261" s="115"/>
      <c r="X261" s="115"/>
      <c r="Y261" s="115"/>
      <c r="Z261" s="115"/>
      <c r="AA261" s="115"/>
      <c r="AB261" s="115"/>
      <c r="AC261" s="115"/>
      <c r="AD261" s="115">
        <v>90</v>
      </c>
      <c r="AE261" s="115">
        <v>30.5</v>
      </c>
      <c r="AF261" s="115">
        <v>300</v>
      </c>
      <c r="AG261" s="115">
        <v>7</v>
      </c>
      <c r="AH261" s="115">
        <v>31</v>
      </c>
      <c r="AI261" s="115">
        <v>1122</v>
      </c>
      <c r="AJ261" s="115" t="s">
        <v>180</v>
      </c>
      <c r="AK261" s="115">
        <v>20</v>
      </c>
      <c r="AL261" s="115"/>
      <c r="AM261" s="115">
        <v>5</v>
      </c>
      <c r="AN261" s="116" t="s">
        <v>348</v>
      </c>
      <c r="AO261" s="117" t="s">
        <v>157</v>
      </c>
      <c r="AP261" s="115">
        <v>1</v>
      </c>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spans="1:72">
      <c r="A262" s="115">
        <v>6</v>
      </c>
      <c r="B262" s="115" t="s">
        <v>174</v>
      </c>
      <c r="C262" s="115" t="s">
        <v>179</v>
      </c>
      <c r="D262" s="115">
        <v>172176274</v>
      </c>
      <c r="E262" s="115" t="s">
        <v>347</v>
      </c>
      <c r="F262" s="115" t="s">
        <v>112</v>
      </c>
      <c r="G262" s="115">
        <v>2</v>
      </c>
      <c r="H262" s="115" t="s">
        <v>183</v>
      </c>
      <c r="I262" s="115"/>
      <c r="J262" s="115" t="s">
        <v>200</v>
      </c>
      <c r="K262" s="115" t="s">
        <v>189</v>
      </c>
      <c r="L262" s="115"/>
      <c r="M262" s="115"/>
      <c r="N262" s="115"/>
      <c r="O262" s="115">
        <v>0</v>
      </c>
      <c r="P262" s="115">
        <v>0</v>
      </c>
      <c r="Q262" s="115">
        <v>1</v>
      </c>
      <c r="R262" s="115">
        <v>1</v>
      </c>
      <c r="S262" s="115" t="s">
        <v>179</v>
      </c>
      <c r="T262" s="115">
        <v>1</v>
      </c>
      <c r="U262" s="115">
        <v>3</v>
      </c>
      <c r="V262" s="115"/>
      <c r="W262" s="115"/>
      <c r="X262" s="115"/>
      <c r="Y262" s="115"/>
      <c r="Z262" s="115"/>
      <c r="AA262" s="115"/>
      <c r="AB262" s="115"/>
      <c r="AC262" s="115"/>
      <c r="AD262" s="115">
        <v>71</v>
      </c>
      <c r="AE262" s="115">
        <v>20.8</v>
      </c>
      <c r="AF262" s="115">
        <v>300</v>
      </c>
      <c r="AG262" s="115">
        <v>7</v>
      </c>
      <c r="AH262" s="115">
        <v>31</v>
      </c>
      <c r="AI262" s="115">
        <v>1150</v>
      </c>
      <c r="AJ262" s="115" t="s">
        <v>180</v>
      </c>
      <c r="AK262" s="115">
        <v>21</v>
      </c>
      <c r="AL262" s="115"/>
      <c r="AM262" s="115"/>
      <c r="AN262" s="116"/>
      <c r="AO262" s="117" t="s">
        <v>203</v>
      </c>
      <c r="AP262" s="115">
        <v>1</v>
      </c>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spans="1:72">
      <c r="A263" s="115">
        <v>7</v>
      </c>
      <c r="B263" s="115" t="s">
        <v>227</v>
      </c>
      <c r="C263" s="115" t="s">
        <v>157</v>
      </c>
      <c r="D263" s="115">
        <v>172176259</v>
      </c>
      <c r="E263" s="115" t="s">
        <v>175</v>
      </c>
      <c r="F263" s="115" t="s">
        <v>114</v>
      </c>
      <c r="G263" s="115">
        <v>2</v>
      </c>
      <c r="H263" s="115" t="s">
        <v>155</v>
      </c>
      <c r="I263" s="115" t="s">
        <v>183</v>
      </c>
      <c r="J263" s="115" t="s">
        <v>182</v>
      </c>
      <c r="K263" s="115" t="s">
        <v>189</v>
      </c>
      <c r="L263" s="115"/>
      <c r="M263" s="115"/>
      <c r="N263" s="115">
        <v>3</v>
      </c>
      <c r="O263" s="115">
        <v>0</v>
      </c>
      <c r="P263" s="115">
        <v>0</v>
      </c>
      <c r="Q263" s="115">
        <v>2</v>
      </c>
      <c r="R263" s="115">
        <v>3</v>
      </c>
      <c r="S263" s="115" t="s">
        <v>179</v>
      </c>
      <c r="T263" s="115">
        <v>2</v>
      </c>
      <c r="U263" s="115">
        <v>2</v>
      </c>
      <c r="V263" s="115"/>
      <c r="W263" s="115"/>
      <c r="X263" s="115"/>
      <c r="Y263" s="115"/>
      <c r="Z263" s="115"/>
      <c r="AA263" s="115"/>
      <c r="AB263" s="115"/>
      <c r="AC263" s="115"/>
      <c r="AD263" s="115">
        <v>64</v>
      </c>
      <c r="AE263" s="115">
        <v>21.7</v>
      </c>
      <c r="AF263" s="115">
        <v>300</v>
      </c>
      <c r="AG263" s="115">
        <v>7</v>
      </c>
      <c r="AH263" s="115">
        <v>31</v>
      </c>
      <c r="AI263" s="115">
        <v>1150</v>
      </c>
      <c r="AJ263" s="115" t="s">
        <v>180</v>
      </c>
      <c r="AK263" s="115">
        <v>8</v>
      </c>
      <c r="AL263" s="115"/>
      <c r="AM263" s="115"/>
      <c r="AN263" s="116"/>
      <c r="AO263" s="117" t="s">
        <v>157</v>
      </c>
      <c r="AP263" s="115">
        <v>3</v>
      </c>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spans="1:72">
      <c r="A264" s="115">
        <v>7</v>
      </c>
      <c r="B264" s="115" t="s">
        <v>355</v>
      </c>
      <c r="C264" s="115" t="s">
        <v>179</v>
      </c>
      <c r="D264" s="115">
        <v>172176273</v>
      </c>
      <c r="E264" s="115" t="s">
        <v>194</v>
      </c>
      <c r="F264" s="115" t="s">
        <v>98</v>
      </c>
      <c r="G264" s="115">
        <v>2</v>
      </c>
      <c r="H264" s="115" t="s">
        <v>183</v>
      </c>
      <c r="I264" s="115" t="s">
        <v>155</v>
      </c>
      <c r="J264" s="115" t="s">
        <v>264</v>
      </c>
      <c r="K264" s="115" t="s">
        <v>189</v>
      </c>
      <c r="L264" s="115"/>
      <c r="M264" s="115"/>
      <c r="N264" s="115">
        <v>2</v>
      </c>
      <c r="O264" s="115">
        <v>0</v>
      </c>
      <c r="P264" s="115">
        <v>0</v>
      </c>
      <c r="Q264" s="115">
        <v>1</v>
      </c>
      <c r="R264" s="115">
        <v>3</v>
      </c>
      <c r="S264" s="115" t="s">
        <v>183</v>
      </c>
      <c r="T264" s="115">
        <v>0</v>
      </c>
      <c r="U264" s="115">
        <v>1</v>
      </c>
      <c r="V264" s="115"/>
      <c r="W264" s="115"/>
      <c r="X264" s="115"/>
      <c r="Y264" s="115"/>
      <c r="Z264" s="115"/>
      <c r="AA264" s="115"/>
      <c r="AB264" s="115"/>
      <c r="AC264" s="115"/>
      <c r="AD264" s="115">
        <v>90</v>
      </c>
      <c r="AE264" s="115">
        <v>31.3</v>
      </c>
      <c r="AF264" s="115">
        <v>300</v>
      </c>
      <c r="AG264" s="115">
        <v>7</v>
      </c>
      <c r="AH264" s="115">
        <v>31</v>
      </c>
      <c r="AI264" s="115">
        <v>1150</v>
      </c>
      <c r="AJ264" s="115" t="s">
        <v>180</v>
      </c>
      <c r="AK264" s="115">
        <v>9</v>
      </c>
      <c r="AL264" s="115"/>
      <c r="AM264" s="115"/>
      <c r="AN264" s="116"/>
      <c r="AO264" s="118" t="s">
        <v>203</v>
      </c>
      <c r="AP264" s="115">
        <v>4</v>
      </c>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spans="1:72">
      <c r="A265" s="115">
        <v>8</v>
      </c>
      <c r="B265" s="115" t="s">
        <v>355</v>
      </c>
      <c r="C265" s="115" t="s">
        <v>179</v>
      </c>
      <c r="D265" s="115">
        <v>172176275</v>
      </c>
      <c r="E265" s="115" t="s">
        <v>194</v>
      </c>
      <c r="F265" s="115" t="s">
        <v>98</v>
      </c>
      <c r="G265" s="115">
        <v>2</v>
      </c>
      <c r="H265" s="115" t="s">
        <v>183</v>
      </c>
      <c r="I265" s="115" t="s">
        <v>155</v>
      </c>
      <c r="J265" s="115" t="s">
        <v>200</v>
      </c>
      <c r="K265" s="115" t="s">
        <v>189</v>
      </c>
      <c r="L265" s="115"/>
      <c r="M265" s="115"/>
      <c r="N265" s="115">
        <v>3</v>
      </c>
      <c r="O265" s="115">
        <v>0</v>
      </c>
      <c r="P265" s="115">
        <v>0</v>
      </c>
      <c r="Q265" s="115">
        <v>1</v>
      </c>
      <c r="R265" s="115">
        <v>2</v>
      </c>
      <c r="S265" s="115" t="s">
        <v>179</v>
      </c>
      <c r="T265" s="115">
        <v>1</v>
      </c>
      <c r="U265" s="115">
        <v>3</v>
      </c>
      <c r="V265" s="115"/>
      <c r="W265" s="115"/>
      <c r="X265" s="115"/>
      <c r="Y265" s="115"/>
      <c r="Z265" s="115"/>
      <c r="AA265" s="115"/>
      <c r="AB265" s="115"/>
      <c r="AC265" s="115"/>
      <c r="AD265" s="115">
        <v>96</v>
      </c>
      <c r="AE265" s="115">
        <v>31.8</v>
      </c>
      <c r="AF265" s="115">
        <v>300</v>
      </c>
      <c r="AG265" s="115">
        <v>7</v>
      </c>
      <c r="AH265" s="115">
        <v>31</v>
      </c>
      <c r="AI265" s="115">
        <v>1150</v>
      </c>
      <c r="AJ265" s="115" t="s">
        <v>180</v>
      </c>
      <c r="AK265" s="115">
        <v>20</v>
      </c>
      <c r="AL265" s="115"/>
      <c r="AM265" s="115"/>
      <c r="AN265" s="116"/>
      <c r="AO265" s="118" t="s">
        <v>203</v>
      </c>
      <c r="AP265" s="115">
        <v>4</v>
      </c>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spans="1:72">
      <c r="A266" s="115">
        <v>7</v>
      </c>
      <c r="B266" s="115" t="s">
        <v>207</v>
      </c>
      <c r="C266" s="115" t="s">
        <v>179</v>
      </c>
      <c r="D266" s="115">
        <v>288029982</v>
      </c>
      <c r="E266" s="115" t="s">
        <v>225</v>
      </c>
      <c r="F266" s="115" t="s">
        <v>122</v>
      </c>
      <c r="G266" s="115">
        <v>1</v>
      </c>
      <c r="H266" s="115" t="s">
        <v>22</v>
      </c>
      <c r="I266" s="115"/>
      <c r="J266" s="115" t="s">
        <v>344</v>
      </c>
      <c r="K266" s="115"/>
      <c r="L266" s="115"/>
      <c r="M266" s="115"/>
      <c r="N266" s="115"/>
      <c r="O266" s="115">
        <v>0</v>
      </c>
      <c r="P266" s="115">
        <v>4</v>
      </c>
      <c r="Q266" s="115">
        <v>1</v>
      </c>
      <c r="R266" s="115">
        <v>2</v>
      </c>
      <c r="S266" s="115" t="s">
        <v>155</v>
      </c>
      <c r="T266" s="115">
        <v>2</v>
      </c>
      <c r="U266" s="115"/>
      <c r="V266" s="115" t="s">
        <v>186</v>
      </c>
      <c r="W266" s="115"/>
      <c r="X266" s="115" t="s">
        <v>186</v>
      </c>
      <c r="Y266" s="115"/>
      <c r="Z266" s="115"/>
      <c r="AA266" s="115"/>
      <c r="AB266" s="115"/>
      <c r="AC266" s="115"/>
      <c r="AD266" s="115">
        <v>50</v>
      </c>
      <c r="AE266" s="115">
        <v>11.2</v>
      </c>
      <c r="AF266" s="115">
        <v>300</v>
      </c>
      <c r="AG266" s="115">
        <v>7</v>
      </c>
      <c r="AH266" s="115">
        <v>31</v>
      </c>
      <c r="AI266" s="115">
        <v>1220</v>
      </c>
      <c r="AJ266" s="115" t="s">
        <v>180</v>
      </c>
      <c r="AK266" s="115">
        <v>21</v>
      </c>
      <c r="AL266" s="115"/>
      <c r="AM266" s="115"/>
      <c r="AN266" s="116"/>
      <c r="AO266" s="117">
        <v>0</v>
      </c>
      <c r="AP266" s="115">
        <v>2</v>
      </c>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spans="1:72">
      <c r="A267" s="115">
        <v>9</v>
      </c>
      <c r="B267" s="115" t="s">
        <v>355</v>
      </c>
      <c r="C267" s="115" t="s">
        <v>179</v>
      </c>
      <c r="D267" s="115">
        <v>172176276</v>
      </c>
      <c r="E267" s="115" t="s">
        <v>194</v>
      </c>
      <c r="F267" s="115" t="s">
        <v>98</v>
      </c>
      <c r="G267" s="115">
        <v>2</v>
      </c>
      <c r="H267" s="115" t="s">
        <v>183</v>
      </c>
      <c r="I267" s="115" t="s">
        <v>155</v>
      </c>
      <c r="J267" s="115" t="s">
        <v>200</v>
      </c>
      <c r="K267" s="115" t="s">
        <v>189</v>
      </c>
      <c r="L267" s="115"/>
      <c r="M267" s="115"/>
      <c r="N267" s="115">
        <v>2</v>
      </c>
      <c r="O267" s="115">
        <v>0</v>
      </c>
      <c r="P267" s="115">
        <v>0</v>
      </c>
      <c r="Q267" s="115">
        <v>1</v>
      </c>
      <c r="R267" s="115">
        <v>3</v>
      </c>
      <c r="S267" s="115" t="s">
        <v>183</v>
      </c>
      <c r="T267" s="115">
        <v>0</v>
      </c>
      <c r="U267" s="115">
        <v>3</v>
      </c>
      <c r="V267" s="115"/>
      <c r="W267" s="115"/>
      <c r="X267" s="115"/>
      <c r="Y267" s="115"/>
      <c r="Z267" s="115"/>
      <c r="AA267" s="115"/>
      <c r="AB267" s="115"/>
      <c r="AC267" s="115"/>
      <c r="AD267" s="115">
        <v>90</v>
      </c>
      <c r="AE267" s="115">
        <v>28.6</v>
      </c>
      <c r="AF267" s="115">
        <v>300</v>
      </c>
      <c r="AG267" s="115">
        <v>7</v>
      </c>
      <c r="AH267" s="115">
        <v>31</v>
      </c>
      <c r="AI267" s="115">
        <v>1220</v>
      </c>
      <c r="AJ267" s="115" t="s">
        <v>180</v>
      </c>
      <c r="AK267" s="115">
        <v>9</v>
      </c>
      <c r="AL267" s="115"/>
      <c r="AM267" s="115"/>
      <c r="AN267" s="116"/>
      <c r="AO267" s="117" t="s">
        <v>203</v>
      </c>
      <c r="AP267" s="115">
        <v>4</v>
      </c>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spans="1:7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spans="1:7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spans="1:7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spans="1:7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spans="1: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spans="1:7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spans="1:7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spans="1:7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spans="1:7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spans="1:7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spans="1:7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spans="1:7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spans="1:7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spans="1:7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spans="1:7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spans="1:7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spans="1:7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spans="1:7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spans="1:7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spans="1:7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spans="1:7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spans="1:7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spans="1:7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spans="1:7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spans="1:7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spans="1:7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spans="1:7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spans="1:7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spans="1:7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spans="1:7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spans="1:7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spans="1:7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spans="1:7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spans="1:7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spans="1:7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spans="1:7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spans="1:7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spans="1:7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spans="1:7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spans="1:7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spans="1:7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spans="1:7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spans="1:7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spans="1:7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spans="1:7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spans="1:7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spans="1:7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spans="1:7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spans="1:7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spans="1:7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spans="1:7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spans="1:7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spans="1:7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spans="1:7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spans="1:7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spans="1:7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spans="1:7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spans="1:7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spans="1:7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spans="1:7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spans="1:7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spans="1:7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spans="1:7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spans="1:7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spans="1:7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spans="1:7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spans="1:7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spans="1:7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spans="1:7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spans="1:7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spans="1:7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spans="1:7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spans="1:7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spans="1:7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spans="1:7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spans="1:7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spans="1:7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spans="1:7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spans="1:7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spans="1:7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spans="1:7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spans="1:7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spans="1:7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spans="1:7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spans="1:7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spans="1:7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spans="1:7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spans="1:7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spans="1:7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spans="1:7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spans="1:7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spans="1:7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spans="1:7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spans="1:7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spans="1:7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spans="1:7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spans="1:7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spans="1:7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spans="1:7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spans="1:7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spans="1:7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spans="1:7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spans="1:7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spans="1:7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spans="1: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spans="1:7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spans="1:7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spans="1:7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spans="1:7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spans="1:7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spans="1:7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spans="1:7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spans="1:7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spans="1:7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spans="1:7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spans="1:7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spans="1:7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spans="1:7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spans="1:7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spans="1:7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spans="1:7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spans="1:7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spans="1:7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spans="1:7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spans="1:7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spans="1:7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spans="1:7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spans="1:7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spans="1:7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spans="1:7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spans="1:7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spans="1:7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spans="1:7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spans="1:7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spans="1:7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spans="1:7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spans="1:7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spans="1:7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spans="1:7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spans="1:7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spans="1:7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spans="1:7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spans="1:7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spans="1:7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spans="1:7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spans="1:7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spans="1:7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spans="1:7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spans="1:7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spans="1:7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spans="1:7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spans="1:7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spans="1:7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spans="1:7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spans="1:7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spans="1:7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spans="1:7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spans="1:7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spans="1:7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spans="1:7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spans="1:7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spans="1:7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spans="1:7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spans="1:7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spans="1:7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spans="1:7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spans="1:7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spans="1:7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spans="1:7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spans="1:7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spans="1:7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spans="1:7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spans="1:7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spans="1:7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spans="1:7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spans="1:7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spans="1:7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spans="1:7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spans="1:7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spans="1:7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spans="1:7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spans="1:7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spans="1:7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spans="1:7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spans="1:7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spans="1:7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spans="1:7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spans="1:7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spans="1:7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spans="1:7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spans="1:7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spans="1:7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spans="1:7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spans="1:7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spans="1:7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spans="1:7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spans="1:7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spans="1:7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spans="1:7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spans="1:7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spans="1:7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spans="1:7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spans="1:7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spans="1:7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spans="1: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spans="1:7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spans="1:7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spans="1:7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spans="1:7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spans="1:7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spans="1:7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spans="1:7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spans="1:7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spans="1:7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spans="1:7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spans="1:7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spans="1:7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spans="1:7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spans="1:7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spans="1:7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spans="1:7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spans="1:7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spans="1:7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spans="1:7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spans="1:7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spans="1:7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spans="1:7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spans="1:7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spans="1:7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spans="1:7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spans="1:7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spans="1:7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spans="1:7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spans="1:7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spans="1:7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spans="1:7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spans="1:7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spans="1:7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spans="1:7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spans="1:7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spans="1:7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spans="1:7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spans="1:7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spans="1:7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spans="1:7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spans="1:7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spans="1:7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spans="1:7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spans="1:7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spans="1:7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spans="1:7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spans="1:7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spans="1:7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spans="1:7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spans="1:7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spans="1:7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spans="1:7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spans="1:7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spans="1:7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spans="1:7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spans="1:7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spans="1:7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spans="1:7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spans="1:7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spans="1:7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spans="1:7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spans="1:7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spans="1:7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spans="1:7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spans="1:7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spans="1:7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spans="1:7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spans="1:7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spans="1:7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spans="1:7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spans="1:7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spans="1:7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spans="1:7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spans="1:7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spans="1:7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spans="1:7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spans="1:7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spans="1:7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spans="1:7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spans="1:7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spans="1:7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spans="1:7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spans="1:7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spans="1:7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spans="1:7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spans="1:7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spans="1:7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spans="1:7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spans="1:7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spans="1:7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spans="1:7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spans="1:7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spans="1:7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spans="1:7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spans="1:7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spans="1:7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spans="1:7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spans="1:7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spans="1:7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spans="1: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spans="1:7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spans="1:7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spans="1:7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spans="1:7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spans="1:7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spans="1:7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spans="1:7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spans="1:7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spans="1:7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spans="1:7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spans="1:7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spans="1:7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spans="1:7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spans="1:7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spans="1:7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spans="1:7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spans="1:7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spans="1:7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spans="1:7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spans="1:7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spans="1:7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spans="1:7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spans="1:7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spans="1:7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spans="1:7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spans="1:7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spans="1:7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spans="1:7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spans="1:7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spans="1:7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spans="1:7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spans="1:7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spans="1:7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spans="1:7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spans="1:7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spans="1:7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spans="1:7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spans="1:7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spans="1:7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spans="1:7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spans="1:7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spans="1:7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spans="1:7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spans="1:7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spans="1:7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spans="1:7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spans="1:7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spans="1:7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spans="1:7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spans="1:7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spans="1:7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spans="1:7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spans="1:7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spans="1:7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spans="1:7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spans="1:7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spans="1:7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spans="1:7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spans="1:7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spans="1:7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spans="1:7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spans="1:7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spans="1:7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spans="1:7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spans="1:7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spans="1:7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spans="1:7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spans="1:7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spans="1:7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spans="1:7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spans="1:7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spans="1:7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spans="1:7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spans="1:7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spans="1:7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spans="1:7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spans="1:7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spans="1:7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spans="1:7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spans="1:7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spans="1:7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spans="1:7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spans="1:7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spans="1:7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spans="1:7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spans="1:7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spans="1:7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spans="1:7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spans="1:7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spans="1:7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spans="1:7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spans="1:7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spans="1:7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spans="1:7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spans="1:7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spans="1:7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spans="1:7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spans="1:7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spans="1:7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spans="1: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spans="1:7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spans="1:7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spans="1:7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spans="1:7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spans="1:7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spans="1:7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spans="1:7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spans="1:7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spans="1:7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spans="1:7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spans="1:7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spans="1:7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spans="1:7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spans="1:7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spans="1:7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spans="1:7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spans="1:7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spans="1:7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spans="1:7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spans="1:7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spans="1:7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spans="1:7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spans="1:7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spans="1:7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spans="1:7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spans="1:7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spans="1:7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spans="1:7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spans="1:7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spans="1:7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spans="1:7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spans="1:7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spans="1:7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spans="1:7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spans="1:7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spans="1:7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spans="1:7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spans="1:7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spans="1:7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spans="1:7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spans="1:7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spans="1:7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spans="1:7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spans="1:7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spans="1:7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spans="1:7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spans="1:7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spans="1:7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spans="1:7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spans="1:7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spans="1:7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spans="1:7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spans="1:7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spans="1:7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spans="1:7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spans="1:7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spans="1:7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spans="1:7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spans="1:7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spans="1:7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spans="1:7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spans="1:7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spans="1:7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spans="1:7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spans="1:7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spans="1:7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spans="1:7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spans="1:7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spans="1:7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spans="1:7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spans="1:7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spans="1:7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spans="1:7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spans="1:7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spans="1:7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spans="1:7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spans="1:7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spans="1:7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spans="1:7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spans="1:7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spans="1:7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spans="1:7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spans="1:7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spans="1:7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spans="1:7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spans="1:7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spans="1:7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spans="1:7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spans="1:7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spans="1:7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spans="1:7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spans="1:7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spans="1:7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spans="1:7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spans="1:7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spans="1:7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spans="1:7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spans="1:7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spans="1:7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spans="1: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spans="1:7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spans="1:7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spans="1:7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spans="1:7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spans="1:7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spans="1:7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spans="1:7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spans="1:7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spans="1:7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spans="1:7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spans="1:7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spans="1:7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spans="1:7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spans="1:7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spans="1:7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spans="1:7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spans="1:7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spans="1:7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spans="1:7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spans="1:7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spans="1:7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spans="1:7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spans="1:7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spans="1:7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spans="1:7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spans="1:7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spans="1:7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spans="1:7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spans="1:7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spans="1:7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spans="1:7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spans="1:7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spans="1:7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spans="1:7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spans="1:7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spans="1:7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spans="1:7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spans="1:7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spans="1:7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spans="1:7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spans="1:7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spans="1:7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spans="1:7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spans="1:7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spans="1:7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spans="1:7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spans="1:7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spans="1:7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spans="1:7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spans="1:7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spans="1:7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spans="1:7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spans="1:7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spans="1:7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spans="1:7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spans="1:7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spans="1:7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spans="1:7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spans="1:7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spans="1:7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spans="1:7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spans="1:7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spans="1:7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spans="1:7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spans="1:7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spans="1:7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spans="1:7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spans="1:7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spans="1:7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spans="1:7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spans="1:7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spans="1:7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spans="1:7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spans="1:7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spans="1:7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spans="1:7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spans="1:7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spans="1:7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spans="1:7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spans="1:7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spans="1:7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spans="1:7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spans="1:7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spans="1:7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spans="1:7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spans="1:7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spans="1:7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spans="1:7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spans="1:7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spans="1:7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spans="1:7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spans="1:7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spans="1:7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spans="1:7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spans="1:7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spans="1:7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spans="1:7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spans="1:7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spans="1:7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spans="1: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spans="1:7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spans="1:7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spans="1:7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spans="1:7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spans="1:7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spans="1:7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spans="1:7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spans="1:7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spans="1:7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spans="1:7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spans="1:7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spans="1:7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spans="1:7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spans="1:7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spans="1:7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spans="1:7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spans="1:7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spans="1:7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spans="1:7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spans="1:7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spans="1:7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spans="1:7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spans="1:7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spans="1:7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spans="1:7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spans="1:7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spans="1:7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spans="1:7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spans="1:7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spans="1:7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spans="1:7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spans="1:7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spans="1:7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spans="1:7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spans="1:7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spans="1:7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spans="1:7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spans="1:7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spans="1:7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spans="1:7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spans="1:7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spans="1:7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spans="1:7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spans="1:7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spans="1:7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spans="1:7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spans="1:7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spans="1:7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spans="1:7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spans="1:7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spans="1:7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spans="1:7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spans="1:7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spans="1:7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spans="1:7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spans="1:7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spans="1:7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spans="1:7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spans="1:7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spans="1:7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spans="1:7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spans="1:7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spans="1:7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spans="1:7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spans="1:7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spans="1:7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spans="1:7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spans="1:7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spans="1:7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spans="1:7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spans="1:7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spans="1:7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spans="1:7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spans="1:7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spans="1:7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spans="1:7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spans="1:7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spans="1:7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spans="1:7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spans="1:7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spans="1:7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spans="1:7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spans="1:7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spans="1:7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spans="1:7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spans="1:7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spans="1:7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spans="1:7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spans="1:7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spans="1:7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spans="1:7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spans="1:7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spans="1:7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spans="1:7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spans="1:7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spans="1:7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spans="1:7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spans="1:7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spans="1:7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spans="1: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spans="1:7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spans="1:7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spans="1:7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spans="1:7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spans="1:7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spans="1:7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spans="1:7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spans="1:7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spans="1:7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spans="1:7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spans="1:7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spans="1:7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spans="1:7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spans="1:7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spans="1:7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spans="1:7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spans="1:7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spans="1:7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spans="1:7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spans="1:7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spans="1:7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spans="1:7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spans="1:7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spans="1:7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spans="1:7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spans="1:7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spans="1:7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spans="1:7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spans="1:72">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sortState xmlns:xlrd2="http://schemas.microsoft.com/office/spreadsheetml/2017/richdata2" ref="A2:AP267">
    <sortCondition ref="AG2:AG267"/>
    <sortCondition ref="AH2:AH267"/>
    <sortCondition ref="AI2:AI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H2" sqref="H2"/>
    </sheetView>
    <sheetView workbookViewId="1"/>
  </sheetViews>
  <sheetFormatPr defaultColWidth="14.42578125" defaultRowHeight="15.75" customHeight="1"/>
  <cols>
    <col min="1" max="1" width="6" customWidth="1"/>
    <col min="2" max="2" width="10.28515625" customWidth="1"/>
    <col min="3" max="3" width="7.140625" customWidth="1"/>
    <col min="5" max="5" width="25.28515625" customWidth="1"/>
    <col min="6" max="6" width="10.42578125" customWidth="1"/>
    <col min="7" max="7" width="6.5703125" customWidth="1"/>
    <col min="8" max="8" width="7.42578125" customWidth="1"/>
    <col min="9" max="9" width="6.42578125" customWidth="1"/>
    <col min="10" max="10" width="8.85546875" customWidth="1"/>
    <col min="11" max="11" width="5.85546875" customWidth="1"/>
    <col min="12" max="12" width="8.28515625" customWidth="1"/>
    <col min="13" max="13" width="8.42578125" customWidth="1"/>
    <col min="14" max="14" width="6.5703125" customWidth="1"/>
    <col min="15" max="15" width="6.140625" customWidth="1"/>
    <col min="16" max="16" width="7" customWidth="1"/>
    <col min="17" max="17" width="6.140625" customWidth="1"/>
    <col min="18" max="18" width="5.42578125" customWidth="1"/>
    <col min="19" max="19" width="6.28515625" customWidth="1"/>
    <col min="20" max="20" width="7" customWidth="1"/>
    <col min="21" max="21" width="7.7109375" customWidth="1"/>
    <col min="22" max="27" width="5.7109375" customWidth="1"/>
    <col min="28" max="28" width="6.42578125" customWidth="1"/>
    <col min="29" max="29" width="8" customWidth="1"/>
    <col min="30" max="30" width="8.5703125" customWidth="1"/>
    <col min="31" max="31" width="9.42578125" customWidth="1"/>
    <col min="32" max="32" width="7.7109375" customWidth="1"/>
    <col min="33" max="33" width="7.42578125" customWidth="1"/>
    <col min="34" max="34" width="7.28515625" customWidth="1"/>
    <col min="35" max="35" width="8.42578125" customWidth="1"/>
    <col min="36" max="36" width="9.42578125" customWidth="1"/>
    <col min="37" max="37" width="7.42578125" customWidth="1"/>
    <col min="38" max="38" width="10.42578125" customWidth="1"/>
    <col min="39" max="39" width="9.42578125" customWidth="1"/>
    <col min="40" max="40" width="39.140625" customWidth="1"/>
    <col min="41" max="41" width="7.5703125" customWidth="1"/>
    <col min="42" max="42" width="9.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283105270</v>
      </c>
      <c r="E2" s="1" t="s">
        <v>175</v>
      </c>
      <c r="F2" s="1" t="s">
        <v>114</v>
      </c>
      <c r="G2" s="1">
        <v>1</v>
      </c>
      <c r="H2" s="1" t="s">
        <v>22</v>
      </c>
      <c r="J2" s="1" t="s">
        <v>176</v>
      </c>
      <c r="K2" s="1" t="s">
        <v>177</v>
      </c>
      <c r="L2" s="1" t="s">
        <v>178</v>
      </c>
      <c r="N2" s="30"/>
      <c r="O2" s="1">
        <v>0</v>
      </c>
      <c r="P2" s="1">
        <v>3</v>
      </c>
      <c r="Q2" s="1">
        <v>1</v>
      </c>
      <c r="R2" s="1">
        <v>0</v>
      </c>
      <c r="S2" s="1" t="s">
        <v>179</v>
      </c>
      <c r="T2" s="1">
        <v>3</v>
      </c>
      <c r="U2" s="31"/>
      <c r="AC2" s="31"/>
      <c r="AD2" s="1">
        <v>62</v>
      </c>
      <c r="AE2" s="1">
        <v>28.2</v>
      </c>
      <c r="AF2" s="1">
        <v>300</v>
      </c>
      <c r="AG2" s="1">
        <v>6</v>
      </c>
      <c r="AH2" s="1">
        <v>7</v>
      </c>
      <c r="AI2" s="1">
        <v>6</v>
      </c>
      <c r="AJ2" s="1" t="s">
        <v>180</v>
      </c>
      <c r="AK2" s="1">
        <v>15</v>
      </c>
      <c r="AN2" s="32"/>
      <c r="AO2" s="33" t="s">
        <v>157</v>
      </c>
      <c r="AP2" s="1">
        <v>1</v>
      </c>
    </row>
    <row r="3" spans="1:72">
      <c r="A3" s="1">
        <v>2</v>
      </c>
      <c r="B3" s="1" t="s">
        <v>174</v>
      </c>
      <c r="C3" s="1" t="s">
        <v>179</v>
      </c>
      <c r="D3" s="1">
        <v>230196607</v>
      </c>
      <c r="E3" s="1" t="s">
        <v>181</v>
      </c>
      <c r="F3" s="1" t="s">
        <v>115</v>
      </c>
      <c r="G3" s="1">
        <v>5</v>
      </c>
      <c r="H3" s="1" t="s">
        <v>22</v>
      </c>
      <c r="J3" s="1" t="s">
        <v>182</v>
      </c>
      <c r="K3" s="1" t="s">
        <v>177</v>
      </c>
      <c r="L3" s="1" t="s">
        <v>22</v>
      </c>
      <c r="N3" s="34">
        <v>6</v>
      </c>
      <c r="O3" s="1">
        <v>0</v>
      </c>
      <c r="P3" s="1">
        <v>3</v>
      </c>
      <c r="Q3" s="1">
        <v>1</v>
      </c>
      <c r="R3" s="1">
        <v>0</v>
      </c>
      <c r="S3" s="1" t="s">
        <v>179</v>
      </c>
      <c r="T3" s="1">
        <v>3</v>
      </c>
      <c r="U3" s="31"/>
      <c r="V3" s="1" t="s">
        <v>183</v>
      </c>
      <c r="W3" s="1" t="s">
        <v>177</v>
      </c>
      <c r="AA3" s="1" t="s">
        <v>183</v>
      </c>
      <c r="AC3" s="31"/>
      <c r="AD3" s="1">
        <v>78</v>
      </c>
      <c r="AE3" s="1">
        <v>35.4</v>
      </c>
      <c r="AF3" s="35">
        <v>300</v>
      </c>
      <c r="AG3" s="35">
        <v>6</v>
      </c>
      <c r="AH3" s="35">
        <v>7</v>
      </c>
      <c r="AI3" s="1">
        <v>630</v>
      </c>
      <c r="AJ3" s="35" t="s">
        <v>180</v>
      </c>
      <c r="AK3" s="1">
        <v>9</v>
      </c>
      <c r="AN3" s="32"/>
      <c r="AO3" s="33" t="s">
        <v>184</v>
      </c>
      <c r="AP3" s="35">
        <v>1</v>
      </c>
    </row>
    <row r="4" spans="1:72">
      <c r="A4" s="36">
        <v>3</v>
      </c>
      <c r="B4" s="36" t="s">
        <v>174</v>
      </c>
      <c r="C4" s="36" t="s">
        <v>179</v>
      </c>
      <c r="D4" s="36">
        <v>135291867</v>
      </c>
      <c r="E4" s="36" t="s">
        <v>181</v>
      </c>
      <c r="F4" s="36" t="s">
        <v>115</v>
      </c>
      <c r="G4" s="36">
        <v>5</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v>
      </c>
      <c r="AE4" s="37"/>
      <c r="AF4" s="40">
        <v>300</v>
      </c>
      <c r="AG4" s="40">
        <v>6</v>
      </c>
      <c r="AH4" s="40">
        <v>7</v>
      </c>
      <c r="AI4" s="36">
        <v>630</v>
      </c>
      <c r="AJ4" s="40" t="s">
        <v>180</v>
      </c>
      <c r="AK4" s="36">
        <v>9</v>
      </c>
      <c r="AL4" s="37"/>
      <c r="AM4" s="37"/>
      <c r="AN4" s="41"/>
      <c r="AO4" s="42">
        <v>2</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284053841</v>
      </c>
      <c r="E5" s="1" t="s">
        <v>187</v>
      </c>
      <c r="F5" s="1" t="s">
        <v>72</v>
      </c>
      <c r="G5" s="1">
        <v>6</v>
      </c>
      <c r="H5" s="1" t="s">
        <v>22</v>
      </c>
      <c r="I5" s="1" t="s">
        <v>155</v>
      </c>
      <c r="J5" s="1" t="s">
        <v>188</v>
      </c>
      <c r="K5" s="1" t="s">
        <v>189</v>
      </c>
      <c r="N5" s="34">
        <v>6</v>
      </c>
      <c r="O5" s="1">
        <v>0</v>
      </c>
      <c r="P5" s="1">
        <v>0</v>
      </c>
      <c r="Q5" s="1">
        <v>1</v>
      </c>
      <c r="R5" s="1">
        <v>0</v>
      </c>
      <c r="S5" s="1" t="s">
        <v>179</v>
      </c>
      <c r="T5" s="1">
        <v>1</v>
      </c>
      <c r="U5" s="31"/>
      <c r="AC5" s="31"/>
      <c r="AD5" s="1">
        <v>62</v>
      </c>
      <c r="AE5" s="1">
        <v>10.7</v>
      </c>
      <c r="AF5" s="35">
        <v>300</v>
      </c>
      <c r="AG5" s="35">
        <v>6</v>
      </c>
      <c r="AH5" s="35">
        <v>7</v>
      </c>
      <c r="AI5" s="1">
        <v>630</v>
      </c>
      <c r="AJ5" s="35" t="s">
        <v>180</v>
      </c>
      <c r="AK5" s="1">
        <v>9</v>
      </c>
      <c r="AM5" s="1">
        <v>1</v>
      </c>
      <c r="AN5" s="43" t="s">
        <v>190</v>
      </c>
      <c r="AO5" s="33" t="s">
        <v>157</v>
      </c>
      <c r="AP5" s="35">
        <v>1</v>
      </c>
    </row>
    <row r="6" spans="1:72">
      <c r="A6" s="1">
        <v>5</v>
      </c>
      <c r="B6" s="1" t="s">
        <v>174</v>
      </c>
      <c r="C6" s="1" t="s">
        <v>179</v>
      </c>
      <c r="D6" s="1">
        <v>135291868</v>
      </c>
      <c r="E6" s="1" t="s">
        <v>191</v>
      </c>
      <c r="F6" s="1" t="s">
        <v>99</v>
      </c>
      <c r="G6" s="1">
        <v>1</v>
      </c>
      <c r="H6" s="1" t="s">
        <v>22</v>
      </c>
      <c r="I6" s="1" t="s">
        <v>155</v>
      </c>
      <c r="J6" s="1" t="s">
        <v>176</v>
      </c>
      <c r="K6" s="1" t="s">
        <v>186</v>
      </c>
      <c r="L6" s="1" t="s">
        <v>1</v>
      </c>
      <c r="M6" s="1" t="s">
        <v>22</v>
      </c>
      <c r="N6" s="34">
        <v>6</v>
      </c>
      <c r="O6" s="1">
        <v>3</v>
      </c>
      <c r="P6" s="1">
        <v>0</v>
      </c>
      <c r="Q6" s="1">
        <v>2</v>
      </c>
      <c r="R6" s="1">
        <v>0</v>
      </c>
      <c r="S6" s="1" t="s">
        <v>179</v>
      </c>
      <c r="T6" s="1">
        <v>2</v>
      </c>
      <c r="U6" s="31"/>
      <c r="V6" s="1" t="s">
        <v>189</v>
      </c>
      <c r="W6" s="1" t="s">
        <v>189</v>
      </c>
      <c r="AA6" s="1" t="s">
        <v>178</v>
      </c>
      <c r="AC6" s="31"/>
      <c r="AD6" s="1">
        <v>133</v>
      </c>
      <c r="AE6" s="1">
        <v>84.3</v>
      </c>
      <c r="AF6" s="35">
        <v>300</v>
      </c>
      <c r="AG6" s="35">
        <v>6</v>
      </c>
      <c r="AH6" s="35">
        <v>7</v>
      </c>
      <c r="AI6" s="1">
        <v>710</v>
      </c>
      <c r="AJ6" s="35" t="s">
        <v>180</v>
      </c>
      <c r="AK6" s="1">
        <v>9</v>
      </c>
      <c r="AN6" s="32"/>
      <c r="AO6" s="33">
        <v>2</v>
      </c>
      <c r="AP6" s="35">
        <v>1</v>
      </c>
    </row>
    <row r="7" spans="1:72">
      <c r="A7" s="36">
        <v>6</v>
      </c>
      <c r="B7" s="36" t="s">
        <v>174</v>
      </c>
      <c r="C7" s="36" t="s">
        <v>189</v>
      </c>
      <c r="D7" s="37"/>
      <c r="E7" s="36" t="s">
        <v>192</v>
      </c>
      <c r="F7" s="36" t="s">
        <v>37</v>
      </c>
      <c r="G7" s="36">
        <v>1</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v>
      </c>
      <c r="AH7" s="40">
        <v>7</v>
      </c>
      <c r="AI7" s="36">
        <v>740</v>
      </c>
      <c r="AJ7" s="40" t="s">
        <v>180</v>
      </c>
      <c r="AK7" s="36">
        <v>20</v>
      </c>
      <c r="AL7" s="37"/>
      <c r="AM7" s="37"/>
      <c r="AN7" s="41"/>
      <c r="AO7" s="42" t="s">
        <v>189</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189</v>
      </c>
      <c r="E8" s="1" t="s">
        <v>193</v>
      </c>
      <c r="F8" s="1" t="s">
        <v>32</v>
      </c>
      <c r="G8" s="1">
        <v>1</v>
      </c>
      <c r="H8" s="1" t="s">
        <v>22</v>
      </c>
      <c r="K8" s="1" t="s">
        <v>177</v>
      </c>
      <c r="L8" s="1" t="s">
        <v>22</v>
      </c>
      <c r="N8" s="30"/>
      <c r="U8" s="31"/>
      <c r="AC8" s="31"/>
      <c r="AG8" s="35">
        <v>6</v>
      </c>
      <c r="AH8" s="35">
        <v>7</v>
      </c>
      <c r="AI8" s="1">
        <v>740</v>
      </c>
      <c r="AJ8" s="35" t="s">
        <v>180</v>
      </c>
      <c r="AK8" s="1">
        <v>7</v>
      </c>
      <c r="AN8" s="32"/>
      <c r="AO8" s="33" t="s">
        <v>189</v>
      </c>
      <c r="AP8" s="35">
        <v>1</v>
      </c>
    </row>
    <row r="9" spans="1:72">
      <c r="A9" s="1">
        <v>8</v>
      </c>
      <c r="B9" s="1" t="s">
        <v>174</v>
      </c>
      <c r="C9" s="1" t="s">
        <v>157</v>
      </c>
      <c r="D9" s="1">
        <v>172176223</v>
      </c>
      <c r="E9" s="1" t="s">
        <v>194</v>
      </c>
      <c r="F9" s="1" t="s">
        <v>98</v>
      </c>
      <c r="G9" s="1">
        <v>5</v>
      </c>
      <c r="H9" s="1" t="s">
        <v>22</v>
      </c>
      <c r="J9" s="1" t="s">
        <v>182</v>
      </c>
      <c r="K9" s="1" t="s">
        <v>186</v>
      </c>
      <c r="L9" s="1" t="s">
        <v>1</v>
      </c>
      <c r="N9" s="30"/>
      <c r="O9" s="1">
        <v>2</v>
      </c>
      <c r="P9" s="1">
        <v>0</v>
      </c>
      <c r="Q9" s="1">
        <v>0</v>
      </c>
      <c r="R9" s="1">
        <v>0</v>
      </c>
      <c r="S9" s="1" t="s">
        <v>179</v>
      </c>
      <c r="T9" s="1">
        <v>2</v>
      </c>
      <c r="U9" s="31"/>
      <c r="V9" s="1" t="s">
        <v>183</v>
      </c>
      <c r="X9" s="1" t="s">
        <v>183</v>
      </c>
      <c r="AA9" s="1" t="s">
        <v>183</v>
      </c>
      <c r="AC9" s="31"/>
      <c r="AD9" s="1">
        <v>95</v>
      </c>
      <c r="AE9" s="1">
        <v>29.5</v>
      </c>
      <c r="AF9" s="35">
        <v>300</v>
      </c>
      <c r="AG9" s="35">
        <v>6</v>
      </c>
      <c r="AH9" s="35">
        <v>7</v>
      </c>
      <c r="AI9" s="1">
        <v>810</v>
      </c>
      <c r="AJ9" s="35" t="s">
        <v>180</v>
      </c>
      <c r="AK9" s="1">
        <v>10</v>
      </c>
      <c r="AM9" s="1">
        <v>2</v>
      </c>
      <c r="AN9" s="43" t="s">
        <v>195</v>
      </c>
      <c r="AO9" s="33" t="s">
        <v>157</v>
      </c>
      <c r="AP9" s="35">
        <v>1</v>
      </c>
    </row>
    <row r="10" spans="1:72">
      <c r="A10" s="36">
        <v>9</v>
      </c>
      <c r="B10" s="36" t="s">
        <v>174</v>
      </c>
      <c r="C10" s="36" t="s">
        <v>157</v>
      </c>
      <c r="D10" s="36">
        <v>262091987</v>
      </c>
      <c r="E10" s="36" t="s">
        <v>196</v>
      </c>
      <c r="F10" s="36" t="s">
        <v>89</v>
      </c>
      <c r="G10" s="36">
        <v>1</v>
      </c>
      <c r="H10" s="36" t="s">
        <v>178</v>
      </c>
      <c r="I10" s="37"/>
      <c r="J10" s="36" t="s">
        <v>176</v>
      </c>
      <c r="K10" s="36" t="s">
        <v>177</v>
      </c>
      <c r="L10" s="36" t="s">
        <v>197</v>
      </c>
      <c r="M10" s="37"/>
      <c r="N10" s="38"/>
      <c r="O10" s="36">
        <v>0</v>
      </c>
      <c r="P10" s="36">
        <v>3</v>
      </c>
      <c r="Q10" s="36">
        <v>2</v>
      </c>
      <c r="R10" s="36">
        <v>0</v>
      </c>
      <c r="S10" s="36" t="s">
        <v>179</v>
      </c>
      <c r="T10" s="36">
        <v>2</v>
      </c>
      <c r="U10" s="39"/>
      <c r="V10" s="37"/>
      <c r="W10" s="37"/>
      <c r="X10" s="37"/>
      <c r="Y10" s="37"/>
      <c r="Z10" s="37"/>
      <c r="AA10" s="37"/>
      <c r="AB10" s="37"/>
      <c r="AC10" s="39"/>
      <c r="AD10" s="36">
        <v>47</v>
      </c>
      <c r="AE10" s="36">
        <v>5.8</v>
      </c>
      <c r="AF10" s="40">
        <v>300</v>
      </c>
      <c r="AG10" s="40">
        <v>6</v>
      </c>
      <c r="AH10" s="40">
        <v>7</v>
      </c>
      <c r="AI10" s="36">
        <v>810</v>
      </c>
      <c r="AJ10" s="40" t="s">
        <v>180</v>
      </c>
      <c r="AK10" s="36">
        <v>14</v>
      </c>
      <c r="AL10" s="37"/>
      <c r="AM10" s="36">
        <v>3</v>
      </c>
      <c r="AN10" s="44" t="s">
        <v>198</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281191223</v>
      </c>
      <c r="E11" s="1" t="s">
        <v>199</v>
      </c>
      <c r="F11" s="1" t="s">
        <v>111</v>
      </c>
      <c r="G11" s="1">
        <v>2</v>
      </c>
      <c r="H11" s="1" t="s">
        <v>183</v>
      </c>
      <c r="J11" s="1" t="s">
        <v>200</v>
      </c>
      <c r="K11" s="1" t="s">
        <v>189</v>
      </c>
      <c r="N11" s="30"/>
      <c r="O11" s="1">
        <v>0</v>
      </c>
      <c r="P11" s="1">
        <v>0</v>
      </c>
      <c r="Q11" s="1">
        <v>3</v>
      </c>
      <c r="R11" s="1">
        <v>2</v>
      </c>
      <c r="S11" s="1" t="s">
        <v>183</v>
      </c>
      <c r="T11" s="1">
        <v>0</v>
      </c>
      <c r="U11" s="45">
        <v>3</v>
      </c>
      <c r="V11" s="1" t="s">
        <v>183</v>
      </c>
      <c r="W11" s="1" t="s">
        <v>183</v>
      </c>
      <c r="AA11" s="1" t="s">
        <v>183</v>
      </c>
      <c r="AC11" s="31"/>
      <c r="AD11" s="1">
        <v>64</v>
      </c>
      <c r="AE11" s="1">
        <v>17.3</v>
      </c>
      <c r="AF11" s="35">
        <v>300</v>
      </c>
      <c r="AG11" s="35">
        <v>6</v>
      </c>
      <c r="AH11" s="35">
        <v>7</v>
      </c>
      <c r="AI11" s="1">
        <v>850</v>
      </c>
      <c r="AJ11" s="35" t="s">
        <v>180</v>
      </c>
      <c r="AK11" s="1">
        <v>15</v>
      </c>
      <c r="AN11" s="32"/>
      <c r="AO11" s="33">
        <v>1</v>
      </c>
      <c r="AP11" s="35">
        <v>1</v>
      </c>
    </row>
    <row r="12" spans="1:72">
      <c r="A12" s="1">
        <v>11</v>
      </c>
      <c r="B12" s="1" t="s">
        <v>174</v>
      </c>
      <c r="C12" s="1" t="s">
        <v>157</v>
      </c>
      <c r="D12" s="1">
        <v>283105238</v>
      </c>
      <c r="E12" s="1" t="s">
        <v>175</v>
      </c>
      <c r="F12" s="1" t="s">
        <v>114</v>
      </c>
      <c r="G12" s="1">
        <v>1</v>
      </c>
      <c r="H12" s="1" t="s">
        <v>22</v>
      </c>
      <c r="J12" s="1" t="s">
        <v>176</v>
      </c>
      <c r="K12" s="1" t="s">
        <v>186</v>
      </c>
      <c r="L12" s="1" t="s">
        <v>1</v>
      </c>
      <c r="N12" s="30"/>
      <c r="O12" s="1">
        <v>3</v>
      </c>
      <c r="P12" s="1">
        <v>0</v>
      </c>
      <c r="Q12" s="1">
        <v>0</v>
      </c>
      <c r="R12" s="1">
        <v>0</v>
      </c>
      <c r="S12" s="1" t="s">
        <v>179</v>
      </c>
      <c r="T12" s="1">
        <v>3</v>
      </c>
      <c r="U12" s="31"/>
      <c r="AC12" s="31"/>
      <c r="AD12" s="1">
        <v>65</v>
      </c>
      <c r="AE12" s="1">
        <v>24.2</v>
      </c>
      <c r="AF12" s="35">
        <v>300</v>
      </c>
      <c r="AG12" s="35">
        <v>6</v>
      </c>
      <c r="AH12" s="35">
        <v>7</v>
      </c>
      <c r="AI12" s="1">
        <v>10</v>
      </c>
      <c r="AJ12" s="35" t="s">
        <v>180</v>
      </c>
      <c r="AK12" s="1">
        <v>8</v>
      </c>
      <c r="AM12" s="1">
        <v>4</v>
      </c>
      <c r="AN12" s="43" t="s">
        <v>201</v>
      </c>
      <c r="AO12" s="33" t="s">
        <v>157</v>
      </c>
      <c r="AP12" s="35">
        <v>1</v>
      </c>
    </row>
    <row r="13" spans="1:72">
      <c r="A13" s="36">
        <v>12</v>
      </c>
      <c r="B13" s="36" t="s">
        <v>174</v>
      </c>
      <c r="C13" s="36" t="s">
        <v>179</v>
      </c>
      <c r="D13" s="36">
        <v>230196608</v>
      </c>
      <c r="E13" s="36" t="s">
        <v>181</v>
      </c>
      <c r="F13" s="36" t="s">
        <v>115</v>
      </c>
      <c r="G13" s="36">
        <v>5</v>
      </c>
      <c r="H13" s="36" t="s">
        <v>185</v>
      </c>
      <c r="I13" s="37"/>
      <c r="J13" s="36" t="s">
        <v>182</v>
      </c>
      <c r="K13" s="36" t="s">
        <v>186</v>
      </c>
      <c r="L13" s="36" t="s">
        <v>22</v>
      </c>
      <c r="M13" s="37"/>
      <c r="N13" s="38"/>
      <c r="O13" s="36">
        <v>3</v>
      </c>
      <c r="P13" s="36">
        <v>0</v>
      </c>
      <c r="Q13" s="36">
        <v>3</v>
      </c>
      <c r="R13" s="36">
        <v>0</v>
      </c>
      <c r="S13" s="36" t="s">
        <v>179</v>
      </c>
      <c r="T13" s="36">
        <v>2</v>
      </c>
      <c r="U13" s="39"/>
      <c r="V13" s="36" t="s">
        <v>183</v>
      </c>
      <c r="W13" s="36" t="s">
        <v>177</v>
      </c>
      <c r="X13" s="37"/>
      <c r="Y13" s="37"/>
      <c r="Z13" s="37"/>
      <c r="AA13" s="36" t="s">
        <v>183</v>
      </c>
      <c r="AB13" s="37"/>
      <c r="AC13" s="39"/>
      <c r="AD13" s="36">
        <v>81</v>
      </c>
      <c r="AE13" s="36">
        <v>40.6</v>
      </c>
      <c r="AF13" s="40">
        <v>300</v>
      </c>
      <c r="AG13" s="40">
        <v>6</v>
      </c>
      <c r="AH13" s="40">
        <v>7</v>
      </c>
      <c r="AI13" s="36">
        <v>1030</v>
      </c>
      <c r="AJ13" s="40" t="s">
        <v>180</v>
      </c>
      <c r="AK13" s="36">
        <v>2</v>
      </c>
      <c r="AL13" s="37"/>
      <c r="AM13" s="36">
        <v>5</v>
      </c>
      <c r="AN13" s="44" t="s">
        <v>202</v>
      </c>
      <c r="AO13" s="42" t="s">
        <v>184</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174</v>
      </c>
      <c r="C14" s="1" t="s">
        <v>179</v>
      </c>
      <c r="D14" s="1">
        <v>172176234</v>
      </c>
      <c r="E14" s="1" t="s">
        <v>175</v>
      </c>
      <c r="F14" s="1" t="s">
        <v>114</v>
      </c>
      <c r="G14" s="1">
        <v>1</v>
      </c>
      <c r="H14" s="1" t="s">
        <v>22</v>
      </c>
      <c r="J14" s="1" t="s">
        <v>176</v>
      </c>
      <c r="K14" s="1" t="s">
        <v>177</v>
      </c>
      <c r="L14" s="1" t="s">
        <v>178</v>
      </c>
      <c r="N14" s="30"/>
      <c r="O14" s="1">
        <v>0</v>
      </c>
      <c r="P14" s="1">
        <v>4</v>
      </c>
      <c r="Q14" s="1">
        <v>2</v>
      </c>
      <c r="R14" s="1">
        <v>0</v>
      </c>
      <c r="S14" s="1" t="s">
        <v>179</v>
      </c>
      <c r="T14" s="1">
        <v>3</v>
      </c>
      <c r="U14" s="31"/>
      <c r="AC14" s="31"/>
      <c r="AD14" s="1">
        <v>63</v>
      </c>
      <c r="AE14" s="1">
        <v>22</v>
      </c>
      <c r="AF14" s="35">
        <v>300</v>
      </c>
      <c r="AG14" s="35">
        <v>6</v>
      </c>
      <c r="AH14" s="35">
        <v>7</v>
      </c>
      <c r="AI14" s="1">
        <v>1030</v>
      </c>
      <c r="AJ14" s="35" t="s">
        <v>180</v>
      </c>
      <c r="AK14" s="1">
        <v>8</v>
      </c>
      <c r="AN14" s="32"/>
      <c r="AO14" s="33" t="s">
        <v>203</v>
      </c>
      <c r="AP14" s="35">
        <v>1</v>
      </c>
    </row>
    <row r="15" spans="1:72">
      <c r="A15" s="1">
        <v>14</v>
      </c>
      <c r="B15" s="1" t="s">
        <v>174</v>
      </c>
      <c r="C15" s="1" t="s">
        <v>179</v>
      </c>
      <c r="D15" s="46">
        <v>135291869</v>
      </c>
      <c r="E15" s="1" t="s">
        <v>181</v>
      </c>
      <c r="F15" s="1" t="s">
        <v>115</v>
      </c>
      <c r="G15" s="1">
        <v>6</v>
      </c>
      <c r="H15" s="1" t="s">
        <v>22</v>
      </c>
      <c r="J15" s="1" t="s">
        <v>188</v>
      </c>
      <c r="K15" s="1" t="s">
        <v>186</v>
      </c>
      <c r="L15" s="1" t="s">
        <v>22</v>
      </c>
      <c r="N15" s="30"/>
      <c r="O15" s="1">
        <v>3</v>
      </c>
      <c r="P15" s="1">
        <v>0</v>
      </c>
      <c r="Q15" s="1">
        <v>1</v>
      </c>
      <c r="R15" s="1">
        <v>0</v>
      </c>
      <c r="S15" s="1" t="s">
        <v>179</v>
      </c>
      <c r="T15" s="1">
        <v>2</v>
      </c>
      <c r="U15" s="31"/>
      <c r="V15" s="1" t="s">
        <v>178</v>
      </c>
      <c r="W15" s="1" t="s">
        <v>178</v>
      </c>
      <c r="AC15" s="31"/>
      <c r="AD15" s="1">
        <v>82</v>
      </c>
      <c r="AE15" s="1">
        <v>42.1</v>
      </c>
      <c r="AF15" s="35">
        <v>300</v>
      </c>
      <c r="AG15" s="35">
        <v>6</v>
      </c>
      <c r="AH15" s="35">
        <v>7</v>
      </c>
      <c r="AI15" s="1">
        <v>11</v>
      </c>
      <c r="AJ15" s="35" t="s">
        <v>180</v>
      </c>
      <c r="AK15" s="1">
        <v>6</v>
      </c>
      <c r="AN15" s="32"/>
      <c r="AO15" s="33">
        <v>2</v>
      </c>
      <c r="AP15" s="35">
        <v>1</v>
      </c>
    </row>
    <row r="16" spans="1:72">
      <c r="A16" s="36">
        <v>15</v>
      </c>
      <c r="B16" s="36" t="s">
        <v>174</v>
      </c>
      <c r="C16" s="36" t="s">
        <v>179</v>
      </c>
      <c r="D16" s="36">
        <v>288029938</v>
      </c>
      <c r="E16" s="47" t="s">
        <v>204</v>
      </c>
      <c r="F16" s="36" t="s">
        <v>88</v>
      </c>
      <c r="G16" s="36">
        <v>1</v>
      </c>
      <c r="H16" s="37"/>
      <c r="I16" s="37"/>
      <c r="J16" s="36" t="s">
        <v>205</v>
      </c>
      <c r="K16" s="36" t="s">
        <v>189</v>
      </c>
      <c r="L16" s="37"/>
      <c r="M16" s="37"/>
      <c r="N16" s="38"/>
      <c r="O16" s="36">
        <v>0</v>
      </c>
      <c r="P16" s="36">
        <v>0</v>
      </c>
      <c r="Q16" s="36">
        <v>2</v>
      </c>
      <c r="R16" s="36">
        <v>1</v>
      </c>
      <c r="S16" s="36" t="s">
        <v>155</v>
      </c>
      <c r="T16" s="36">
        <v>2</v>
      </c>
      <c r="U16" s="39"/>
      <c r="V16" s="37"/>
      <c r="W16" s="37"/>
      <c r="X16" s="37"/>
      <c r="Y16" s="37"/>
      <c r="Z16" s="37"/>
      <c r="AA16" s="37"/>
      <c r="AB16" s="37"/>
      <c r="AC16" s="39"/>
      <c r="AD16" s="36">
        <v>58</v>
      </c>
      <c r="AE16" s="36">
        <v>10.7</v>
      </c>
      <c r="AF16" s="40">
        <v>300</v>
      </c>
      <c r="AG16" s="40">
        <v>6</v>
      </c>
      <c r="AH16" s="40">
        <v>7</v>
      </c>
      <c r="AI16" s="36">
        <v>11</v>
      </c>
      <c r="AJ16" s="40" t="s">
        <v>180</v>
      </c>
      <c r="AK16" s="36">
        <v>7</v>
      </c>
      <c r="AL16" s="37"/>
      <c r="AM16" s="37"/>
      <c r="AN16" s="41"/>
      <c r="AO16" s="42">
        <v>0</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1">
        <v>16</v>
      </c>
      <c r="B17" s="11" t="s">
        <v>174</v>
      </c>
      <c r="C17" s="11" t="s">
        <v>157</v>
      </c>
      <c r="D17" s="11">
        <v>262127373</v>
      </c>
      <c r="E17" s="11" t="s">
        <v>206</v>
      </c>
      <c r="F17" s="11" t="s">
        <v>105</v>
      </c>
      <c r="G17" s="11">
        <v>6</v>
      </c>
      <c r="H17" s="11" t="s">
        <v>22</v>
      </c>
      <c r="I17" s="12"/>
      <c r="J17" s="11" t="s">
        <v>188</v>
      </c>
      <c r="K17" s="11" t="s">
        <v>186</v>
      </c>
      <c r="L17" s="11" t="s">
        <v>22</v>
      </c>
      <c r="M17" s="12"/>
      <c r="N17" s="48"/>
      <c r="O17" s="11">
        <v>3</v>
      </c>
      <c r="P17" s="11">
        <v>0</v>
      </c>
      <c r="Q17" s="11">
        <v>1</v>
      </c>
      <c r="R17" s="11">
        <v>0</v>
      </c>
      <c r="S17" s="11" t="s">
        <v>179</v>
      </c>
      <c r="T17" s="11">
        <v>2</v>
      </c>
      <c r="U17" s="49"/>
      <c r="V17" s="11" t="s">
        <v>178</v>
      </c>
      <c r="W17" s="11" t="s">
        <v>178</v>
      </c>
      <c r="X17" s="12"/>
      <c r="Y17" s="12"/>
      <c r="Z17" s="12"/>
      <c r="AA17" s="11" t="s">
        <v>178</v>
      </c>
      <c r="AB17" s="12"/>
      <c r="AC17" s="49"/>
      <c r="AD17" s="11">
        <v>80</v>
      </c>
      <c r="AE17" s="11">
        <v>24.9</v>
      </c>
      <c r="AF17" s="50">
        <v>300</v>
      </c>
      <c r="AG17" s="50">
        <v>6</v>
      </c>
      <c r="AH17" s="50">
        <v>7</v>
      </c>
      <c r="AI17" s="11">
        <v>1130</v>
      </c>
      <c r="AJ17" s="50" t="s">
        <v>180</v>
      </c>
      <c r="AK17" s="11">
        <v>20</v>
      </c>
      <c r="AL17" s="12"/>
      <c r="AM17" s="12"/>
      <c r="AN17" s="51"/>
      <c r="AO17" s="52" t="s">
        <v>157</v>
      </c>
      <c r="AP17" s="50">
        <v>1</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c r="A18" s="1">
        <v>1</v>
      </c>
      <c r="B18" s="1" t="s">
        <v>207</v>
      </c>
      <c r="C18" s="1" t="s">
        <v>179</v>
      </c>
      <c r="D18" s="1">
        <v>172176231</v>
      </c>
      <c r="E18" s="1" t="s">
        <v>175</v>
      </c>
      <c r="F18" s="1" t="s">
        <v>114</v>
      </c>
      <c r="G18" s="1">
        <v>1</v>
      </c>
      <c r="H18" s="1" t="s">
        <v>1</v>
      </c>
      <c r="J18" s="1" t="s">
        <v>176</v>
      </c>
      <c r="K18" s="1" t="s">
        <v>186</v>
      </c>
      <c r="L18" s="1" t="s">
        <v>1</v>
      </c>
      <c r="N18" s="30"/>
      <c r="O18" s="1">
        <v>3</v>
      </c>
      <c r="P18" s="1">
        <v>0</v>
      </c>
      <c r="Q18" s="1">
        <v>0</v>
      </c>
      <c r="R18" s="1" t="s">
        <v>179</v>
      </c>
      <c r="S18" s="1">
        <v>0</v>
      </c>
      <c r="T18" s="1">
        <v>4</v>
      </c>
      <c r="U18" s="31"/>
      <c r="V18" s="1" t="s">
        <v>189</v>
      </c>
      <c r="X18" s="1" t="s">
        <v>189</v>
      </c>
      <c r="AA18" s="1" t="s">
        <v>189</v>
      </c>
      <c r="AC18" s="31"/>
      <c r="AD18" s="1">
        <v>60</v>
      </c>
      <c r="AE18" s="1">
        <v>22.1</v>
      </c>
      <c r="AF18" s="1">
        <v>300</v>
      </c>
      <c r="AG18" s="35">
        <v>6</v>
      </c>
      <c r="AH18" s="35">
        <v>7</v>
      </c>
      <c r="AI18" s="1">
        <v>630</v>
      </c>
      <c r="AJ18" s="35" t="s">
        <v>180</v>
      </c>
      <c r="AK18" s="1">
        <v>20</v>
      </c>
      <c r="AM18" s="1">
        <v>1</v>
      </c>
      <c r="AN18" s="43" t="s">
        <v>208</v>
      </c>
      <c r="AO18" s="33" t="s">
        <v>203</v>
      </c>
      <c r="AP18" s="1">
        <v>2</v>
      </c>
    </row>
    <row r="19" spans="1:72">
      <c r="A19" s="1">
        <v>2</v>
      </c>
      <c r="B19" s="1" t="s">
        <v>207</v>
      </c>
      <c r="C19" s="1" t="s">
        <v>157</v>
      </c>
      <c r="D19" s="1">
        <v>283105290</v>
      </c>
      <c r="E19" s="1" t="s">
        <v>194</v>
      </c>
      <c r="F19" s="1" t="s">
        <v>98</v>
      </c>
      <c r="G19" s="1">
        <v>1</v>
      </c>
      <c r="H19" s="1" t="s">
        <v>1</v>
      </c>
      <c r="J19" s="1" t="s">
        <v>176</v>
      </c>
      <c r="K19" s="1" t="s">
        <v>186</v>
      </c>
      <c r="L19" s="1" t="s">
        <v>1</v>
      </c>
      <c r="N19" s="30"/>
      <c r="O19" s="1">
        <v>2</v>
      </c>
      <c r="P19" s="1">
        <v>0</v>
      </c>
      <c r="Q19" s="1">
        <v>0</v>
      </c>
      <c r="R19" s="1" t="s">
        <v>179</v>
      </c>
      <c r="S19" s="1">
        <v>0</v>
      </c>
      <c r="T19" s="1">
        <v>1</v>
      </c>
      <c r="U19" s="31"/>
      <c r="X19" s="1" t="s">
        <v>189</v>
      </c>
      <c r="AC19" s="31"/>
      <c r="AD19" s="1">
        <v>91</v>
      </c>
      <c r="AE19" s="1">
        <v>29.6</v>
      </c>
      <c r="AF19" s="1">
        <v>300</v>
      </c>
      <c r="AG19" s="35">
        <v>6</v>
      </c>
      <c r="AH19" s="35">
        <v>7</v>
      </c>
      <c r="AI19" s="1">
        <v>630</v>
      </c>
      <c r="AJ19" s="35" t="s">
        <v>180</v>
      </c>
      <c r="AK19" s="1">
        <v>14</v>
      </c>
      <c r="AM19" s="1">
        <v>2</v>
      </c>
      <c r="AN19" s="43" t="s">
        <v>209</v>
      </c>
      <c r="AO19" s="33" t="s">
        <v>157</v>
      </c>
      <c r="AP19" s="35">
        <v>2</v>
      </c>
    </row>
    <row r="20" spans="1:72">
      <c r="A20" s="36">
        <v>3</v>
      </c>
      <c r="B20" s="36" t="s">
        <v>207</v>
      </c>
      <c r="C20" s="36" t="s">
        <v>189</v>
      </c>
      <c r="D20" s="37"/>
      <c r="E20" s="36" t="s">
        <v>192</v>
      </c>
      <c r="F20" s="36" t="s">
        <v>37</v>
      </c>
      <c r="G20" s="36">
        <v>6</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v>
      </c>
      <c r="AH20" s="40">
        <v>7</v>
      </c>
      <c r="AI20" s="36">
        <v>630</v>
      </c>
      <c r="AJ20" s="40" t="s">
        <v>180</v>
      </c>
      <c r="AK20" s="36">
        <v>21</v>
      </c>
      <c r="AL20" s="37"/>
      <c r="AM20" s="37"/>
      <c r="AN20" s="41"/>
      <c r="AO20" s="42" t="s">
        <v>189</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4</v>
      </c>
      <c r="B21" s="1" t="s">
        <v>207</v>
      </c>
      <c r="C21" s="1" t="s">
        <v>179</v>
      </c>
      <c r="D21" s="1">
        <v>288029933</v>
      </c>
      <c r="E21" s="1" t="s">
        <v>210</v>
      </c>
      <c r="F21" s="1" t="s">
        <v>68</v>
      </c>
      <c r="G21" s="1">
        <v>5</v>
      </c>
      <c r="H21" s="1" t="s">
        <v>22</v>
      </c>
      <c r="J21" s="1" t="s">
        <v>182</v>
      </c>
      <c r="K21" s="1" t="s">
        <v>186</v>
      </c>
      <c r="L21" s="1" t="s">
        <v>1</v>
      </c>
      <c r="N21" s="30"/>
      <c r="O21" s="1">
        <v>2</v>
      </c>
      <c r="P21" s="1">
        <v>0</v>
      </c>
      <c r="Q21" s="1">
        <v>1</v>
      </c>
      <c r="R21" s="1" t="s">
        <v>179</v>
      </c>
      <c r="S21" s="1">
        <v>0</v>
      </c>
      <c r="T21" s="1">
        <v>1</v>
      </c>
      <c r="U21" s="31"/>
      <c r="V21" s="1" t="s">
        <v>185</v>
      </c>
      <c r="W21" s="1" t="s">
        <v>185</v>
      </c>
      <c r="AC21" s="31"/>
      <c r="AD21" s="1">
        <v>66</v>
      </c>
      <c r="AE21" s="1">
        <v>13.1</v>
      </c>
      <c r="AF21" s="1">
        <v>300</v>
      </c>
      <c r="AG21" s="35">
        <v>6</v>
      </c>
      <c r="AH21" s="35">
        <v>7</v>
      </c>
      <c r="AI21" s="1">
        <v>630</v>
      </c>
      <c r="AJ21" s="35" t="s">
        <v>180</v>
      </c>
      <c r="AK21" s="1">
        <v>20</v>
      </c>
      <c r="AM21" s="1">
        <v>3</v>
      </c>
      <c r="AN21" s="43" t="s">
        <v>211</v>
      </c>
      <c r="AO21" s="33">
        <v>0</v>
      </c>
      <c r="AP21" s="35">
        <v>2</v>
      </c>
    </row>
    <row r="22" spans="1:72">
      <c r="A22" s="1">
        <v>5</v>
      </c>
      <c r="B22" s="1" t="s">
        <v>207</v>
      </c>
      <c r="C22" s="1" t="s">
        <v>179</v>
      </c>
      <c r="D22" s="1">
        <v>290077828</v>
      </c>
      <c r="E22" s="1" t="s">
        <v>212</v>
      </c>
      <c r="F22" s="1" t="s">
        <v>91</v>
      </c>
      <c r="G22" s="1">
        <v>1</v>
      </c>
      <c r="H22" s="1" t="s">
        <v>178</v>
      </c>
      <c r="J22" s="1" t="s">
        <v>176</v>
      </c>
      <c r="K22" s="1" t="s">
        <v>177</v>
      </c>
      <c r="L22" s="1" t="s">
        <v>178</v>
      </c>
      <c r="N22" s="30"/>
      <c r="O22" s="1">
        <v>0</v>
      </c>
      <c r="P22" s="1">
        <v>3</v>
      </c>
      <c r="Q22" s="1">
        <v>0</v>
      </c>
      <c r="R22" s="1" t="s">
        <v>179</v>
      </c>
      <c r="S22" s="1">
        <v>0</v>
      </c>
      <c r="U22" s="31"/>
      <c r="AC22" s="31"/>
      <c r="AD22" s="1">
        <v>60</v>
      </c>
      <c r="AG22" s="35">
        <v>6</v>
      </c>
      <c r="AH22" s="35">
        <v>7</v>
      </c>
      <c r="AI22" s="1">
        <v>630</v>
      </c>
      <c r="AJ22" s="35" t="s">
        <v>180</v>
      </c>
      <c r="AK22" s="1">
        <v>3</v>
      </c>
      <c r="AL22" s="1" t="s">
        <v>213</v>
      </c>
      <c r="AM22" s="1">
        <v>4</v>
      </c>
      <c r="AN22" s="43" t="s">
        <v>214</v>
      </c>
      <c r="AO22" s="33" t="s">
        <v>215</v>
      </c>
      <c r="AP22" s="35">
        <v>2</v>
      </c>
    </row>
    <row r="23" spans="1:72">
      <c r="A23" s="36">
        <v>6</v>
      </c>
      <c r="B23" s="36" t="s">
        <v>207</v>
      </c>
      <c r="C23" s="36" t="s">
        <v>179</v>
      </c>
      <c r="D23" s="36">
        <v>288029934</v>
      </c>
      <c r="E23" s="36" t="s">
        <v>199</v>
      </c>
      <c r="F23" s="36" t="s">
        <v>111</v>
      </c>
      <c r="G23" s="36">
        <v>5</v>
      </c>
      <c r="H23" s="36" t="s">
        <v>1</v>
      </c>
      <c r="I23" s="36" t="s">
        <v>22</v>
      </c>
      <c r="J23" s="36" t="s">
        <v>182</v>
      </c>
      <c r="K23" s="36" t="s">
        <v>186</v>
      </c>
      <c r="L23" s="36" t="s">
        <v>1</v>
      </c>
      <c r="M23" s="37"/>
      <c r="N23" s="38"/>
      <c r="O23" s="36">
        <v>3</v>
      </c>
      <c r="P23" s="36">
        <v>0</v>
      </c>
      <c r="Q23" s="36">
        <v>0</v>
      </c>
      <c r="R23" s="36" t="s">
        <v>179</v>
      </c>
      <c r="S23" s="36">
        <v>0</v>
      </c>
      <c r="T23" s="36">
        <v>2</v>
      </c>
      <c r="U23" s="39"/>
      <c r="V23" s="37"/>
      <c r="W23" s="37"/>
      <c r="X23" s="37"/>
      <c r="Y23" s="37"/>
      <c r="Z23" s="37"/>
      <c r="AA23" s="37"/>
      <c r="AB23" s="36" t="s">
        <v>177</v>
      </c>
      <c r="AC23" s="39"/>
      <c r="AD23" s="36">
        <v>73</v>
      </c>
      <c r="AE23" s="36">
        <v>17.899999999999999</v>
      </c>
      <c r="AF23" s="36">
        <v>300</v>
      </c>
      <c r="AG23" s="40">
        <v>6</v>
      </c>
      <c r="AH23" s="40">
        <v>7</v>
      </c>
      <c r="AI23" s="36">
        <v>1010</v>
      </c>
      <c r="AJ23" s="40" t="s">
        <v>180</v>
      </c>
      <c r="AK23" s="36">
        <v>3</v>
      </c>
      <c r="AL23" s="37"/>
      <c r="AM23" s="37"/>
      <c r="AN23" s="41"/>
      <c r="AO23" s="42">
        <v>0</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7</v>
      </c>
      <c r="B24" s="11" t="s">
        <v>207</v>
      </c>
      <c r="C24" s="11" t="s">
        <v>179</v>
      </c>
      <c r="D24" s="11">
        <v>288029935</v>
      </c>
      <c r="E24" s="53" t="s">
        <v>204</v>
      </c>
      <c r="F24" s="11" t="s">
        <v>88</v>
      </c>
      <c r="G24" s="11">
        <v>5</v>
      </c>
      <c r="H24" s="11" t="s">
        <v>1</v>
      </c>
      <c r="I24" s="11" t="s">
        <v>185</v>
      </c>
      <c r="J24" s="11" t="s">
        <v>182</v>
      </c>
      <c r="K24" s="11" t="s">
        <v>177</v>
      </c>
      <c r="L24" s="11" t="s">
        <v>178</v>
      </c>
      <c r="M24" s="12"/>
      <c r="N24" s="48"/>
      <c r="O24" s="11">
        <v>0</v>
      </c>
      <c r="P24" s="11">
        <v>3</v>
      </c>
      <c r="Q24" s="11">
        <v>0</v>
      </c>
      <c r="R24" s="11" t="s">
        <v>179</v>
      </c>
      <c r="S24" s="11">
        <v>0</v>
      </c>
      <c r="T24" s="11">
        <v>3</v>
      </c>
      <c r="U24" s="49"/>
      <c r="V24" s="12"/>
      <c r="W24" s="11" t="s">
        <v>185</v>
      </c>
      <c r="X24" s="12"/>
      <c r="Y24" s="12"/>
      <c r="Z24" s="12"/>
      <c r="AA24" s="12"/>
      <c r="AB24" s="12"/>
      <c r="AC24" s="49"/>
      <c r="AD24" s="11">
        <v>56</v>
      </c>
      <c r="AE24" s="11">
        <v>10</v>
      </c>
      <c r="AF24" s="11">
        <v>300</v>
      </c>
      <c r="AG24" s="50">
        <v>6</v>
      </c>
      <c r="AH24" s="50">
        <v>7</v>
      </c>
      <c r="AI24" s="11">
        <v>1040</v>
      </c>
      <c r="AJ24" s="50" t="s">
        <v>180</v>
      </c>
      <c r="AK24" s="11">
        <v>5</v>
      </c>
      <c r="AL24" s="12"/>
      <c r="AM24" s="12"/>
      <c r="AN24" s="51"/>
      <c r="AO24" s="52">
        <v>0</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216</v>
      </c>
      <c r="C25" s="1" t="s">
        <v>157</v>
      </c>
      <c r="D25" s="1">
        <v>804191913</v>
      </c>
      <c r="E25" s="1" t="s">
        <v>181</v>
      </c>
      <c r="F25" s="1" t="s">
        <v>115</v>
      </c>
      <c r="G25" s="1">
        <v>5</v>
      </c>
      <c r="H25" s="1" t="s">
        <v>22</v>
      </c>
      <c r="J25" s="1" t="s">
        <v>182</v>
      </c>
      <c r="K25" s="1" t="s">
        <v>177</v>
      </c>
      <c r="L25" s="1" t="s">
        <v>22</v>
      </c>
      <c r="M25" s="1" t="s">
        <v>178</v>
      </c>
      <c r="N25" s="30"/>
      <c r="O25" s="1">
        <v>1</v>
      </c>
      <c r="P25" s="1">
        <v>2</v>
      </c>
      <c r="Q25" s="1">
        <v>0</v>
      </c>
      <c r="R25" s="1">
        <v>0</v>
      </c>
      <c r="S25" s="1" t="s">
        <v>179</v>
      </c>
      <c r="T25" s="1">
        <v>3</v>
      </c>
      <c r="U25" s="31"/>
      <c r="V25" s="1" t="s">
        <v>183</v>
      </c>
      <c r="W25" s="1" t="s">
        <v>177</v>
      </c>
      <c r="AC25" s="45" t="s">
        <v>197</v>
      </c>
      <c r="AD25" s="1">
        <v>81</v>
      </c>
      <c r="AE25" s="1">
        <v>38.6</v>
      </c>
      <c r="AF25" s="1">
        <v>300</v>
      </c>
      <c r="AG25" s="35">
        <v>6</v>
      </c>
      <c r="AH25" s="35">
        <v>7</v>
      </c>
      <c r="AI25" s="1">
        <v>630</v>
      </c>
      <c r="AJ25" s="35" t="s">
        <v>180</v>
      </c>
      <c r="AK25" s="1">
        <v>2</v>
      </c>
      <c r="AM25" s="1">
        <v>1</v>
      </c>
      <c r="AN25" s="43" t="s">
        <v>217</v>
      </c>
      <c r="AO25" s="33" t="s">
        <v>157</v>
      </c>
      <c r="AP25" s="1">
        <v>3</v>
      </c>
    </row>
    <row r="26" spans="1:72">
      <c r="A26" s="1">
        <v>2</v>
      </c>
      <c r="B26" s="1" t="s">
        <v>216</v>
      </c>
      <c r="C26" s="1" t="s">
        <v>157</v>
      </c>
      <c r="D26" s="1">
        <v>283105297</v>
      </c>
      <c r="E26" s="1" t="s">
        <v>194</v>
      </c>
      <c r="F26" s="1" t="s">
        <v>98</v>
      </c>
      <c r="G26" s="1">
        <v>1</v>
      </c>
      <c r="H26" s="1" t="s">
        <v>22</v>
      </c>
      <c r="J26" s="1" t="s">
        <v>218</v>
      </c>
      <c r="K26" s="1" t="s">
        <v>186</v>
      </c>
      <c r="L26" s="1" t="s">
        <v>1</v>
      </c>
      <c r="N26" s="30"/>
      <c r="O26" s="1">
        <v>3</v>
      </c>
      <c r="P26" s="1">
        <v>0</v>
      </c>
      <c r="Q26" s="1">
        <v>0</v>
      </c>
      <c r="R26" s="1">
        <v>0</v>
      </c>
      <c r="S26" s="1" t="s">
        <v>179</v>
      </c>
      <c r="T26" s="1">
        <v>4</v>
      </c>
      <c r="U26" s="31"/>
      <c r="V26" s="1" t="s">
        <v>178</v>
      </c>
      <c r="W26" s="1" t="s">
        <v>178</v>
      </c>
      <c r="X26" s="1" t="s">
        <v>178</v>
      </c>
      <c r="Y26" s="1" t="s">
        <v>178</v>
      </c>
      <c r="AA26" s="1" t="s">
        <v>178</v>
      </c>
      <c r="AC26" s="31"/>
      <c r="AD26" s="1">
        <v>105</v>
      </c>
      <c r="AE26" s="1">
        <v>29.4</v>
      </c>
      <c r="AF26" s="1">
        <v>300</v>
      </c>
      <c r="AG26" s="35">
        <v>6</v>
      </c>
      <c r="AH26" s="35">
        <v>7</v>
      </c>
      <c r="AI26" s="1">
        <v>740</v>
      </c>
      <c r="AJ26" s="35" t="s">
        <v>180</v>
      </c>
      <c r="AK26" s="1">
        <v>2</v>
      </c>
      <c r="AM26" s="1">
        <v>2</v>
      </c>
      <c r="AN26" s="43" t="s">
        <v>219</v>
      </c>
      <c r="AO26" s="33" t="s">
        <v>157</v>
      </c>
      <c r="AP26" s="35">
        <v>3</v>
      </c>
    </row>
    <row r="27" spans="1:72">
      <c r="A27" s="36">
        <v>3</v>
      </c>
      <c r="B27" s="36" t="s">
        <v>216</v>
      </c>
      <c r="C27" s="36" t="s">
        <v>189</v>
      </c>
      <c r="D27" s="37"/>
      <c r="E27" s="36" t="s">
        <v>193</v>
      </c>
      <c r="F27" s="36" t="s">
        <v>32</v>
      </c>
      <c r="G27" s="36">
        <v>2</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v>
      </c>
      <c r="AH27" s="40">
        <v>7</v>
      </c>
      <c r="AI27" s="36">
        <v>810</v>
      </c>
      <c r="AJ27" s="40" t="s">
        <v>180</v>
      </c>
      <c r="AK27" s="36">
        <v>6</v>
      </c>
      <c r="AL27" s="37"/>
      <c r="AM27" s="37"/>
      <c r="AN27" s="41"/>
      <c r="AO27" s="42"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216</v>
      </c>
      <c r="C28" s="1" t="s">
        <v>189</v>
      </c>
      <c r="E28" s="1" t="s">
        <v>193</v>
      </c>
      <c r="F28" s="1" t="s">
        <v>32</v>
      </c>
      <c r="G28" s="1">
        <v>1</v>
      </c>
      <c r="H28" s="1" t="s">
        <v>22</v>
      </c>
      <c r="I28" s="1" t="s">
        <v>220</v>
      </c>
      <c r="K28" s="1" t="s">
        <v>177</v>
      </c>
      <c r="L28" s="1" t="s">
        <v>22</v>
      </c>
      <c r="N28" s="30"/>
      <c r="U28" s="31"/>
      <c r="AC28" s="31"/>
      <c r="AG28" s="35">
        <v>6</v>
      </c>
      <c r="AH28" s="35">
        <v>7</v>
      </c>
      <c r="AI28" s="1">
        <v>810</v>
      </c>
      <c r="AJ28" s="35" t="s">
        <v>180</v>
      </c>
      <c r="AK28" s="1">
        <v>6</v>
      </c>
      <c r="AN28" s="32"/>
      <c r="AO28" s="33" t="s">
        <v>189</v>
      </c>
      <c r="AP28" s="35">
        <v>3</v>
      </c>
    </row>
    <row r="29" spans="1:72">
      <c r="A29" s="1">
        <v>5</v>
      </c>
      <c r="B29" s="1" t="s">
        <v>216</v>
      </c>
      <c r="C29" s="46" t="s">
        <v>157</v>
      </c>
      <c r="D29" s="1">
        <v>290063531</v>
      </c>
      <c r="E29" s="1" t="s">
        <v>196</v>
      </c>
      <c r="F29" s="1" t="s">
        <v>89</v>
      </c>
      <c r="G29" s="1">
        <v>1</v>
      </c>
      <c r="H29" s="1" t="s">
        <v>22</v>
      </c>
      <c r="K29" s="1" t="s">
        <v>189</v>
      </c>
      <c r="N29" s="34">
        <v>8</v>
      </c>
      <c r="S29" s="1" t="s">
        <v>179</v>
      </c>
      <c r="T29" s="1">
        <v>2</v>
      </c>
      <c r="U29" s="31"/>
      <c r="AC29" s="45" t="s">
        <v>197</v>
      </c>
      <c r="AD29" s="1">
        <v>47</v>
      </c>
      <c r="AE29" s="1">
        <v>5.6</v>
      </c>
      <c r="AF29" s="1">
        <v>300</v>
      </c>
      <c r="AG29" s="35">
        <v>6</v>
      </c>
      <c r="AH29" s="35">
        <v>7</v>
      </c>
      <c r="AI29" s="1">
        <v>810</v>
      </c>
      <c r="AJ29" s="35" t="s">
        <v>180</v>
      </c>
      <c r="AK29" s="1">
        <v>14</v>
      </c>
      <c r="AM29" s="1">
        <v>3</v>
      </c>
      <c r="AN29" s="43" t="s">
        <v>221</v>
      </c>
      <c r="AO29" s="33" t="s">
        <v>157</v>
      </c>
      <c r="AP29" s="35">
        <v>3</v>
      </c>
    </row>
    <row r="30" spans="1:72">
      <c r="A30" s="36">
        <v>6</v>
      </c>
      <c r="B30" s="36" t="s">
        <v>216</v>
      </c>
      <c r="C30" s="36" t="s">
        <v>189</v>
      </c>
      <c r="D30" s="37"/>
      <c r="E30" s="36" t="s">
        <v>192</v>
      </c>
      <c r="F30" s="36" t="s">
        <v>37</v>
      </c>
      <c r="G30" s="36">
        <v>2</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v>
      </c>
      <c r="AH30" s="40">
        <v>7</v>
      </c>
      <c r="AI30" s="36">
        <v>10</v>
      </c>
      <c r="AJ30" s="40" t="s">
        <v>180</v>
      </c>
      <c r="AK30" s="36">
        <v>21</v>
      </c>
      <c r="AL30" s="37"/>
      <c r="AM30" s="36">
        <v>4</v>
      </c>
      <c r="AN30" s="44" t="s">
        <v>222</v>
      </c>
      <c r="AO30" s="42" t="s">
        <v>189</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216</v>
      </c>
      <c r="C31" s="1" t="s">
        <v>179</v>
      </c>
      <c r="D31" s="1">
        <v>288029937</v>
      </c>
      <c r="E31" s="1" t="s">
        <v>223</v>
      </c>
      <c r="F31" s="1" t="s">
        <v>123</v>
      </c>
      <c r="G31" s="1">
        <v>5</v>
      </c>
      <c r="H31" s="1" t="s">
        <v>220</v>
      </c>
      <c r="J31" s="1" t="s">
        <v>182</v>
      </c>
      <c r="K31" s="1" t="s">
        <v>177</v>
      </c>
      <c r="L31" s="1" t="s">
        <v>178</v>
      </c>
      <c r="N31" s="30"/>
      <c r="O31" s="1">
        <v>0</v>
      </c>
      <c r="P31" s="1">
        <v>2</v>
      </c>
      <c r="Q31" s="1">
        <v>2</v>
      </c>
      <c r="R31" s="1">
        <v>0</v>
      </c>
      <c r="S31" s="1" t="s">
        <v>179</v>
      </c>
      <c r="T31" s="1">
        <v>3</v>
      </c>
      <c r="U31" s="31"/>
      <c r="V31" s="1" t="s">
        <v>183</v>
      </c>
      <c r="W31" s="1" t="s">
        <v>177</v>
      </c>
      <c r="AC31" s="31"/>
      <c r="AD31" s="1">
        <v>60</v>
      </c>
      <c r="AE31" s="1">
        <v>9.6</v>
      </c>
      <c r="AF31" s="1">
        <v>300</v>
      </c>
      <c r="AG31" s="35">
        <v>6</v>
      </c>
      <c r="AH31" s="35">
        <v>7</v>
      </c>
      <c r="AI31" s="1">
        <v>1030</v>
      </c>
      <c r="AJ31" s="35" t="s">
        <v>180</v>
      </c>
      <c r="AK31" s="1">
        <v>20</v>
      </c>
      <c r="AM31" s="1">
        <v>5</v>
      </c>
      <c r="AN31" s="43" t="s">
        <v>224</v>
      </c>
      <c r="AO31" s="33">
        <v>0</v>
      </c>
      <c r="AP31" s="35">
        <v>3</v>
      </c>
    </row>
    <row r="32" spans="1:72">
      <c r="A32" s="11">
        <v>8</v>
      </c>
      <c r="B32" s="11" t="s">
        <v>216</v>
      </c>
      <c r="C32" s="53" t="s">
        <v>157</v>
      </c>
      <c r="D32" s="11">
        <v>291032212</v>
      </c>
      <c r="E32" s="11" t="s">
        <v>225</v>
      </c>
      <c r="F32" s="11" t="s">
        <v>122</v>
      </c>
      <c r="G32" s="11">
        <v>1</v>
      </c>
      <c r="H32" s="11" t="s">
        <v>22</v>
      </c>
      <c r="I32" s="11" t="s">
        <v>178</v>
      </c>
      <c r="J32" s="11" t="s">
        <v>188</v>
      </c>
      <c r="K32" s="11" t="s">
        <v>177</v>
      </c>
      <c r="L32" s="11" t="s">
        <v>178</v>
      </c>
      <c r="M32" s="12"/>
      <c r="N32" s="48"/>
      <c r="O32" s="11">
        <v>0</v>
      </c>
      <c r="P32" s="11">
        <v>1</v>
      </c>
      <c r="Q32" s="11">
        <v>1</v>
      </c>
      <c r="R32" s="12"/>
      <c r="S32" s="11" t="s">
        <v>179</v>
      </c>
      <c r="T32" s="11">
        <v>4</v>
      </c>
      <c r="U32" s="49"/>
      <c r="V32" s="12"/>
      <c r="W32" s="12"/>
      <c r="X32" s="12"/>
      <c r="Y32" s="12"/>
      <c r="Z32" s="12"/>
      <c r="AA32" s="12"/>
      <c r="AB32" s="12"/>
      <c r="AC32" s="49"/>
      <c r="AD32" s="11">
        <v>52</v>
      </c>
      <c r="AE32" s="11">
        <v>9.6</v>
      </c>
      <c r="AF32" s="11">
        <v>300</v>
      </c>
      <c r="AG32" s="50">
        <v>6</v>
      </c>
      <c r="AH32" s="50">
        <v>7</v>
      </c>
      <c r="AI32" s="11">
        <v>1130</v>
      </c>
      <c r="AJ32" s="50" t="s">
        <v>180</v>
      </c>
      <c r="AK32" s="11">
        <v>21</v>
      </c>
      <c r="AL32" s="12"/>
      <c r="AM32" s="11">
        <v>6</v>
      </c>
      <c r="AN32" s="54" t="s">
        <v>226</v>
      </c>
      <c r="AO32" s="52" t="s">
        <v>157</v>
      </c>
      <c r="AP32" s="50">
        <v>3</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c r="A33" s="1">
        <v>1</v>
      </c>
      <c r="B33" s="1" t="s">
        <v>227</v>
      </c>
      <c r="C33" s="1" t="s">
        <v>157</v>
      </c>
      <c r="D33" s="1">
        <v>283105242</v>
      </c>
      <c r="E33" s="1" t="s">
        <v>194</v>
      </c>
      <c r="F33" s="1" t="s">
        <v>98</v>
      </c>
      <c r="G33" s="1">
        <v>1</v>
      </c>
      <c r="H33" s="1" t="s">
        <v>155</v>
      </c>
      <c r="I33" s="1" t="s">
        <v>178</v>
      </c>
      <c r="J33" s="1" t="s">
        <v>176</v>
      </c>
      <c r="K33" s="1" t="s">
        <v>177</v>
      </c>
      <c r="L33" s="1" t="s">
        <v>178</v>
      </c>
      <c r="M33" s="1" t="s">
        <v>22</v>
      </c>
      <c r="N33" s="34">
        <v>5</v>
      </c>
      <c r="O33" s="1">
        <v>0</v>
      </c>
      <c r="P33" s="1">
        <v>4</v>
      </c>
      <c r="Q33" s="1">
        <v>1</v>
      </c>
      <c r="R33" s="1">
        <v>0</v>
      </c>
      <c r="S33" s="1" t="s">
        <v>179</v>
      </c>
      <c r="T33" s="1">
        <v>1</v>
      </c>
      <c r="U33" s="31"/>
      <c r="V33" s="1" t="s">
        <v>178</v>
      </c>
      <c r="W33" s="1" t="s">
        <v>189</v>
      </c>
      <c r="X33" s="1" t="s">
        <v>178</v>
      </c>
      <c r="AA33" s="1" t="s">
        <v>189</v>
      </c>
      <c r="AC33" s="31"/>
      <c r="AD33" s="1">
        <v>94</v>
      </c>
      <c r="AE33" s="1">
        <v>32.9</v>
      </c>
      <c r="AF33" s="35">
        <v>300</v>
      </c>
      <c r="AG33" s="35">
        <v>6</v>
      </c>
      <c r="AH33" s="35">
        <v>7</v>
      </c>
      <c r="AI33" s="1">
        <v>630</v>
      </c>
      <c r="AJ33" s="35" t="s">
        <v>180</v>
      </c>
      <c r="AK33" s="1">
        <v>9</v>
      </c>
      <c r="AN33" s="32"/>
      <c r="AO33" s="33" t="s">
        <v>157</v>
      </c>
      <c r="AP33" s="1">
        <v>4</v>
      </c>
    </row>
    <row r="34" spans="1:72">
      <c r="A34" s="1">
        <v>2</v>
      </c>
      <c r="B34" s="1" t="s">
        <v>227</v>
      </c>
      <c r="C34" s="1" t="s">
        <v>179</v>
      </c>
      <c r="D34" s="1">
        <v>290077827</v>
      </c>
      <c r="E34" s="1" t="s">
        <v>228</v>
      </c>
      <c r="F34" s="1" t="s">
        <v>120</v>
      </c>
      <c r="G34" s="1">
        <v>1</v>
      </c>
      <c r="H34" s="1" t="s">
        <v>155</v>
      </c>
      <c r="I34" s="1" t="s">
        <v>1</v>
      </c>
      <c r="J34" s="1" t="s">
        <v>176</v>
      </c>
      <c r="K34" s="1" t="s">
        <v>186</v>
      </c>
      <c r="L34" s="1" t="s">
        <v>1</v>
      </c>
      <c r="M34" s="1" t="s">
        <v>22</v>
      </c>
      <c r="N34" s="34">
        <v>6</v>
      </c>
      <c r="O34" s="1">
        <v>3</v>
      </c>
      <c r="P34" s="1">
        <v>0</v>
      </c>
      <c r="Q34" s="1">
        <v>0</v>
      </c>
      <c r="R34" s="1">
        <v>0</v>
      </c>
      <c r="S34" s="1" t="s">
        <v>179</v>
      </c>
      <c r="T34" s="1">
        <v>3</v>
      </c>
      <c r="U34" s="31"/>
      <c r="AC34" s="31"/>
      <c r="AD34" s="1">
        <v>59</v>
      </c>
      <c r="AE34" s="1">
        <v>8.9</v>
      </c>
      <c r="AF34" s="35">
        <v>300</v>
      </c>
      <c r="AG34" s="35">
        <v>6</v>
      </c>
      <c r="AH34" s="35">
        <v>7</v>
      </c>
      <c r="AI34" s="1">
        <v>710</v>
      </c>
      <c r="AJ34" s="35" t="s">
        <v>180</v>
      </c>
      <c r="AK34" s="1">
        <v>9</v>
      </c>
      <c r="AN34" s="32"/>
      <c r="AO34" s="33" t="s">
        <v>215</v>
      </c>
      <c r="AP34" s="35">
        <v>4</v>
      </c>
    </row>
    <row r="35" spans="1:72">
      <c r="A35" s="36">
        <v>3</v>
      </c>
      <c r="B35" s="36" t="s">
        <v>227</v>
      </c>
      <c r="C35" s="36" t="s">
        <v>157</v>
      </c>
      <c r="D35" s="36">
        <v>287076660</v>
      </c>
      <c r="E35" s="47" t="s">
        <v>228</v>
      </c>
      <c r="F35" s="36" t="s">
        <v>120</v>
      </c>
      <c r="G35" s="36">
        <v>1</v>
      </c>
      <c r="H35" s="36" t="s">
        <v>155</v>
      </c>
      <c r="I35" s="36" t="s">
        <v>178</v>
      </c>
      <c r="J35" s="36" t="s">
        <v>176</v>
      </c>
      <c r="K35" s="36" t="s">
        <v>177</v>
      </c>
      <c r="L35" s="36" t="s">
        <v>178</v>
      </c>
      <c r="M35" s="36" t="s">
        <v>22</v>
      </c>
      <c r="N35" s="55">
        <v>6</v>
      </c>
      <c r="O35" s="36">
        <v>0</v>
      </c>
      <c r="P35" s="36">
        <v>3</v>
      </c>
      <c r="Q35" s="36">
        <v>4</v>
      </c>
      <c r="R35" s="36">
        <v>0</v>
      </c>
      <c r="S35" s="36" t="s">
        <v>179</v>
      </c>
      <c r="T35" s="36">
        <v>3</v>
      </c>
      <c r="U35" s="39"/>
      <c r="V35" s="37"/>
      <c r="W35" s="37"/>
      <c r="X35" s="37"/>
      <c r="Y35" s="37"/>
      <c r="Z35" s="37"/>
      <c r="AA35" s="37"/>
      <c r="AB35" s="37"/>
      <c r="AC35" s="39"/>
      <c r="AD35" s="36">
        <v>54</v>
      </c>
      <c r="AE35" s="36">
        <v>10.6</v>
      </c>
      <c r="AF35" s="40">
        <v>300</v>
      </c>
      <c r="AG35" s="40">
        <v>6</v>
      </c>
      <c r="AH35" s="40">
        <v>7</v>
      </c>
      <c r="AI35" s="36">
        <v>710</v>
      </c>
      <c r="AJ35" s="40" t="s">
        <v>180</v>
      </c>
      <c r="AK35" s="36">
        <v>9</v>
      </c>
      <c r="AL35" s="37"/>
      <c r="AM35" s="37"/>
      <c r="AN35" s="41"/>
      <c r="AO35" s="42" t="s">
        <v>157</v>
      </c>
      <c r="AP35" s="40">
        <v>4</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spans="1:72">
      <c r="A36" s="1">
        <v>4</v>
      </c>
      <c r="B36" s="1" t="s">
        <v>227</v>
      </c>
      <c r="C36" s="1" t="s">
        <v>179</v>
      </c>
      <c r="D36" s="1">
        <v>290077829</v>
      </c>
      <c r="E36" s="1" t="s">
        <v>225</v>
      </c>
      <c r="F36" s="1" t="s">
        <v>122</v>
      </c>
      <c r="G36" s="1">
        <v>1</v>
      </c>
      <c r="H36" s="1" t="s">
        <v>155</v>
      </c>
      <c r="I36" s="1" t="s">
        <v>178</v>
      </c>
      <c r="J36" s="1" t="s">
        <v>176</v>
      </c>
      <c r="K36" s="1" t="s">
        <v>177</v>
      </c>
      <c r="L36" s="1" t="s">
        <v>178</v>
      </c>
      <c r="M36" s="1" t="s">
        <v>22</v>
      </c>
      <c r="N36" s="34">
        <v>6</v>
      </c>
      <c r="O36" s="1">
        <v>0</v>
      </c>
      <c r="P36" s="1">
        <v>4</v>
      </c>
      <c r="Q36" s="1">
        <v>0</v>
      </c>
      <c r="R36" s="1">
        <v>0</v>
      </c>
      <c r="S36" s="1" t="s">
        <v>179</v>
      </c>
      <c r="T36" s="1">
        <v>3</v>
      </c>
      <c r="U36" s="31"/>
      <c r="AC36" s="31"/>
      <c r="AD36" s="1">
        <v>50</v>
      </c>
      <c r="AE36" s="1">
        <v>9.5</v>
      </c>
      <c r="AF36" s="35">
        <v>300</v>
      </c>
      <c r="AG36" s="35">
        <v>6</v>
      </c>
      <c r="AH36" s="35">
        <v>7</v>
      </c>
      <c r="AI36" s="1">
        <v>810</v>
      </c>
      <c r="AJ36" s="35" t="s">
        <v>180</v>
      </c>
      <c r="AK36" s="1">
        <v>21</v>
      </c>
      <c r="AN36" s="32"/>
      <c r="AO36" s="33" t="s">
        <v>215</v>
      </c>
      <c r="AP36" s="35">
        <v>4</v>
      </c>
    </row>
    <row r="37" spans="1:72">
      <c r="A37" s="1">
        <v>5</v>
      </c>
      <c r="B37" s="1" t="s">
        <v>227</v>
      </c>
      <c r="C37" s="1" t="s">
        <v>157</v>
      </c>
      <c r="D37" s="1">
        <v>281127931</v>
      </c>
      <c r="E37" s="1" t="s">
        <v>229</v>
      </c>
      <c r="F37" s="1" t="s">
        <v>95</v>
      </c>
      <c r="G37" s="1">
        <v>1</v>
      </c>
      <c r="H37" s="1" t="s">
        <v>155</v>
      </c>
      <c r="I37" s="1" t="s">
        <v>1</v>
      </c>
      <c r="J37" s="1" t="s">
        <v>176</v>
      </c>
      <c r="K37" s="1" t="s">
        <v>186</v>
      </c>
      <c r="L37" s="1" t="s">
        <v>1</v>
      </c>
      <c r="M37" s="1" t="s">
        <v>22</v>
      </c>
      <c r="N37" s="34">
        <v>6</v>
      </c>
      <c r="O37" s="1">
        <v>1</v>
      </c>
      <c r="P37" s="1">
        <v>0</v>
      </c>
      <c r="Q37" s="1">
        <v>0</v>
      </c>
      <c r="R37" s="1">
        <v>0</v>
      </c>
      <c r="S37" s="1" t="s">
        <v>179</v>
      </c>
      <c r="T37" s="1">
        <v>3</v>
      </c>
      <c r="U37" s="31"/>
      <c r="AC37" s="31"/>
      <c r="AD37" s="1">
        <v>51</v>
      </c>
      <c r="AE37" s="1">
        <v>11</v>
      </c>
      <c r="AF37" s="35">
        <v>300</v>
      </c>
      <c r="AG37" s="35">
        <v>6</v>
      </c>
      <c r="AH37" s="35">
        <v>7</v>
      </c>
      <c r="AI37" s="1">
        <v>850</v>
      </c>
      <c r="AJ37" s="35" t="s">
        <v>180</v>
      </c>
      <c r="AK37" s="1">
        <v>8</v>
      </c>
      <c r="AN37" s="32"/>
      <c r="AO37" s="33" t="s">
        <v>157</v>
      </c>
      <c r="AP37" s="35">
        <v>4</v>
      </c>
    </row>
    <row r="38" spans="1:72">
      <c r="A38" s="36">
        <v>6</v>
      </c>
      <c r="B38" s="36" t="s">
        <v>227</v>
      </c>
      <c r="C38" s="36" t="s">
        <v>157</v>
      </c>
      <c r="D38" s="36">
        <v>262127392</v>
      </c>
      <c r="E38" s="36" t="s">
        <v>199</v>
      </c>
      <c r="F38" s="36" t="s">
        <v>111</v>
      </c>
      <c r="G38" s="36">
        <v>1</v>
      </c>
      <c r="H38" s="36" t="s">
        <v>155</v>
      </c>
      <c r="I38" s="36" t="s">
        <v>178</v>
      </c>
      <c r="J38" s="36" t="s">
        <v>176</v>
      </c>
      <c r="K38" s="36" t="s">
        <v>177</v>
      </c>
      <c r="L38" s="36" t="s">
        <v>178</v>
      </c>
      <c r="M38" s="36" t="s">
        <v>22</v>
      </c>
      <c r="N38" s="55">
        <v>6</v>
      </c>
      <c r="O38" s="36">
        <v>0</v>
      </c>
      <c r="P38" s="36">
        <v>4</v>
      </c>
      <c r="Q38" s="36">
        <v>0</v>
      </c>
      <c r="R38" s="36">
        <v>0</v>
      </c>
      <c r="S38" s="36" t="s">
        <v>179</v>
      </c>
      <c r="T38" s="36">
        <v>2</v>
      </c>
      <c r="U38" s="39"/>
      <c r="V38" s="37"/>
      <c r="W38" s="37"/>
      <c r="X38" s="37"/>
      <c r="Y38" s="37"/>
      <c r="Z38" s="37"/>
      <c r="AA38" s="37"/>
      <c r="AB38" s="37"/>
      <c r="AC38" s="39"/>
      <c r="AD38" s="36">
        <v>69</v>
      </c>
      <c r="AE38" s="36">
        <v>18.100000000000001</v>
      </c>
      <c r="AF38" s="40">
        <v>300</v>
      </c>
      <c r="AG38" s="40">
        <v>6</v>
      </c>
      <c r="AH38" s="40">
        <v>7</v>
      </c>
      <c r="AI38" s="36">
        <v>850</v>
      </c>
      <c r="AJ38" s="40" t="s">
        <v>180</v>
      </c>
      <c r="AK38" s="36">
        <v>5</v>
      </c>
      <c r="AL38" s="37"/>
      <c r="AM38" s="37"/>
      <c r="AN38" s="41"/>
      <c r="AO38" s="42" t="s">
        <v>157</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7</v>
      </c>
      <c r="B39" s="1" t="s">
        <v>227</v>
      </c>
      <c r="C39" s="1" t="s">
        <v>179</v>
      </c>
      <c r="D39" s="1">
        <v>172176232</v>
      </c>
      <c r="E39" s="1" t="s">
        <v>175</v>
      </c>
      <c r="F39" s="1" t="s">
        <v>114</v>
      </c>
      <c r="G39" s="1">
        <v>1</v>
      </c>
      <c r="H39" s="1" t="s">
        <v>155</v>
      </c>
      <c r="I39" s="1" t="s">
        <v>1</v>
      </c>
      <c r="J39" s="1" t="s">
        <v>176</v>
      </c>
      <c r="K39" s="1" t="s">
        <v>186</v>
      </c>
      <c r="L39" s="1" t="s">
        <v>1</v>
      </c>
      <c r="M39" s="1" t="s">
        <v>22</v>
      </c>
      <c r="N39" s="34">
        <v>6</v>
      </c>
      <c r="O39" s="1">
        <v>3</v>
      </c>
      <c r="P39" s="1">
        <v>0</v>
      </c>
      <c r="Q39" s="1">
        <v>0</v>
      </c>
      <c r="R39" s="1">
        <v>0</v>
      </c>
      <c r="S39" s="1" t="s">
        <v>179</v>
      </c>
      <c r="T39" s="1">
        <v>3</v>
      </c>
      <c r="U39" s="31"/>
      <c r="AC39" s="31"/>
      <c r="AD39" s="1">
        <v>66</v>
      </c>
      <c r="AE39" s="1">
        <v>25.2</v>
      </c>
      <c r="AF39" s="35">
        <v>300</v>
      </c>
      <c r="AG39" s="35">
        <v>6</v>
      </c>
      <c r="AH39" s="35">
        <v>7</v>
      </c>
      <c r="AI39" s="1">
        <v>920</v>
      </c>
      <c r="AJ39" s="35" t="s">
        <v>180</v>
      </c>
      <c r="AK39" s="1">
        <v>20</v>
      </c>
      <c r="AN39" s="32"/>
      <c r="AO39" s="33" t="s">
        <v>203</v>
      </c>
      <c r="AP39" s="35">
        <v>4</v>
      </c>
    </row>
    <row r="40" spans="1:72">
      <c r="A40" s="1">
        <v>8</v>
      </c>
      <c r="B40" s="1" t="s">
        <v>227</v>
      </c>
      <c r="C40" s="1" t="s">
        <v>179</v>
      </c>
      <c r="D40" s="1">
        <v>172176233</v>
      </c>
      <c r="E40" s="1" t="s">
        <v>175</v>
      </c>
      <c r="F40" s="1" t="s">
        <v>114</v>
      </c>
      <c r="G40" s="1">
        <v>2</v>
      </c>
      <c r="H40" s="1" t="s">
        <v>220</v>
      </c>
      <c r="I40" s="1" t="s">
        <v>155</v>
      </c>
      <c r="J40" s="1" t="s">
        <v>200</v>
      </c>
      <c r="K40" s="1" t="s">
        <v>189</v>
      </c>
      <c r="N40" s="34">
        <v>5</v>
      </c>
      <c r="O40" s="1">
        <v>0</v>
      </c>
      <c r="P40" s="1">
        <v>0</v>
      </c>
      <c r="Q40" s="1">
        <v>0</v>
      </c>
      <c r="R40" s="1">
        <v>1</v>
      </c>
      <c r="S40" s="1" t="s">
        <v>179</v>
      </c>
      <c r="T40" s="1">
        <v>1</v>
      </c>
      <c r="U40" s="45">
        <v>3</v>
      </c>
      <c r="AC40" s="31"/>
      <c r="AD40" s="1">
        <v>62</v>
      </c>
      <c r="AE40" s="1">
        <v>19.600000000000001</v>
      </c>
      <c r="AF40" s="35">
        <v>300</v>
      </c>
      <c r="AG40" s="35">
        <v>6</v>
      </c>
      <c r="AH40" s="35">
        <v>7</v>
      </c>
      <c r="AI40" s="1">
        <v>10</v>
      </c>
      <c r="AJ40" s="35" t="s">
        <v>180</v>
      </c>
      <c r="AK40" s="1">
        <v>7</v>
      </c>
      <c r="AM40" s="1">
        <v>1</v>
      </c>
      <c r="AN40" s="43" t="s">
        <v>230</v>
      </c>
      <c r="AO40" s="33" t="s">
        <v>203</v>
      </c>
      <c r="AP40" s="35">
        <v>4</v>
      </c>
    </row>
    <row r="41" spans="1:72">
      <c r="A41" s="36">
        <v>9</v>
      </c>
      <c r="B41" s="36" t="s">
        <v>227</v>
      </c>
      <c r="C41" s="36" t="s">
        <v>179</v>
      </c>
      <c r="D41" s="36">
        <v>288029936</v>
      </c>
      <c r="E41" s="36" t="s">
        <v>204</v>
      </c>
      <c r="F41" s="36" t="s">
        <v>88</v>
      </c>
      <c r="G41" s="36">
        <v>1</v>
      </c>
      <c r="H41" s="36" t="s">
        <v>155</v>
      </c>
      <c r="I41" s="36" t="s">
        <v>1</v>
      </c>
      <c r="J41" s="36" t="s">
        <v>176</v>
      </c>
      <c r="K41" s="36" t="s">
        <v>186</v>
      </c>
      <c r="L41" s="36" t="s">
        <v>1</v>
      </c>
      <c r="M41" s="36" t="s">
        <v>22</v>
      </c>
      <c r="N41" s="55">
        <v>6</v>
      </c>
      <c r="O41" s="36">
        <v>1</v>
      </c>
      <c r="P41" s="36">
        <v>0</v>
      </c>
      <c r="Q41" s="36">
        <v>2</v>
      </c>
      <c r="R41" s="36">
        <v>0</v>
      </c>
      <c r="S41" s="36" t="s">
        <v>155</v>
      </c>
      <c r="T41" s="36">
        <v>3</v>
      </c>
      <c r="U41" s="39"/>
      <c r="V41" s="37"/>
      <c r="W41" s="37"/>
      <c r="X41" s="37"/>
      <c r="Y41" s="37"/>
      <c r="Z41" s="37"/>
      <c r="AA41" s="37"/>
      <c r="AB41" s="37"/>
      <c r="AC41" s="39"/>
      <c r="AD41" s="36">
        <v>59</v>
      </c>
      <c r="AE41" s="36">
        <v>9.1999999999999993</v>
      </c>
      <c r="AF41" s="40">
        <v>300</v>
      </c>
      <c r="AG41" s="40">
        <v>6</v>
      </c>
      <c r="AH41" s="40">
        <v>7</v>
      </c>
      <c r="AI41" s="36">
        <v>1030</v>
      </c>
      <c r="AJ41" s="40" t="s">
        <v>180</v>
      </c>
      <c r="AK41" s="36">
        <v>2</v>
      </c>
      <c r="AL41" s="37"/>
      <c r="AM41" s="36">
        <v>2</v>
      </c>
      <c r="AN41" s="44" t="s">
        <v>231</v>
      </c>
      <c r="AO41" s="42">
        <v>0</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10</v>
      </c>
      <c r="B42" s="1" t="s">
        <v>227</v>
      </c>
      <c r="C42" s="1" t="s">
        <v>179</v>
      </c>
      <c r="D42" s="1">
        <v>281191224</v>
      </c>
      <c r="E42" s="1" t="s">
        <v>199</v>
      </c>
      <c r="F42" s="1" t="s">
        <v>111</v>
      </c>
      <c r="G42" s="1">
        <v>2</v>
      </c>
      <c r="H42" s="1" t="s">
        <v>22</v>
      </c>
      <c r="I42" s="1" t="s">
        <v>155</v>
      </c>
      <c r="J42" s="1" t="s">
        <v>200</v>
      </c>
      <c r="K42" s="1" t="s">
        <v>189</v>
      </c>
      <c r="N42" s="34">
        <v>5</v>
      </c>
      <c r="O42" s="1">
        <v>0</v>
      </c>
      <c r="P42" s="1">
        <v>0</v>
      </c>
      <c r="Q42" s="1">
        <v>0</v>
      </c>
      <c r="R42" s="1">
        <v>0</v>
      </c>
      <c r="S42" s="1" t="s">
        <v>179</v>
      </c>
      <c r="T42" s="1">
        <v>1</v>
      </c>
      <c r="U42" s="45">
        <v>3</v>
      </c>
      <c r="AC42" s="31"/>
      <c r="AD42" s="1">
        <v>74</v>
      </c>
      <c r="AE42" s="1">
        <v>17.3</v>
      </c>
      <c r="AF42" s="35">
        <v>300</v>
      </c>
      <c r="AG42" s="35">
        <v>6</v>
      </c>
      <c r="AH42" s="35">
        <v>7</v>
      </c>
      <c r="AI42" s="1">
        <v>1030</v>
      </c>
      <c r="AJ42" s="35" t="s">
        <v>180</v>
      </c>
      <c r="AK42" s="1">
        <v>7</v>
      </c>
      <c r="AN42" s="32"/>
      <c r="AO42" s="33">
        <v>1</v>
      </c>
      <c r="AP42" s="35">
        <v>4</v>
      </c>
    </row>
    <row r="43" spans="1:72">
      <c r="A43" s="11">
        <v>11</v>
      </c>
      <c r="B43" s="11" t="s">
        <v>227</v>
      </c>
      <c r="C43" s="11" t="s">
        <v>157</v>
      </c>
      <c r="D43" s="11">
        <v>282018289</v>
      </c>
      <c r="E43" s="11" t="s">
        <v>204</v>
      </c>
      <c r="F43" s="11" t="s">
        <v>88</v>
      </c>
      <c r="G43" s="11">
        <v>1</v>
      </c>
      <c r="H43" s="11" t="s">
        <v>155</v>
      </c>
      <c r="I43" s="11" t="s">
        <v>1</v>
      </c>
      <c r="J43" s="11" t="s">
        <v>176</v>
      </c>
      <c r="K43" s="11" t="s">
        <v>186</v>
      </c>
      <c r="L43" s="11" t="s">
        <v>1</v>
      </c>
      <c r="M43" s="11" t="s">
        <v>22</v>
      </c>
      <c r="N43" s="56">
        <v>6</v>
      </c>
      <c r="O43" s="11">
        <v>1</v>
      </c>
      <c r="P43" s="11">
        <v>0</v>
      </c>
      <c r="Q43" s="11">
        <v>1</v>
      </c>
      <c r="R43" s="11">
        <v>0</v>
      </c>
      <c r="S43" s="11" t="s">
        <v>179</v>
      </c>
      <c r="T43" s="11">
        <v>2</v>
      </c>
      <c r="U43" s="49"/>
      <c r="V43" s="12"/>
      <c r="W43" s="12"/>
      <c r="X43" s="12"/>
      <c r="Y43" s="12"/>
      <c r="Z43" s="12"/>
      <c r="AA43" s="12"/>
      <c r="AB43" s="12"/>
      <c r="AC43" s="49"/>
      <c r="AD43" s="11">
        <v>60</v>
      </c>
      <c r="AE43" s="11">
        <v>9.6999999999999993</v>
      </c>
      <c r="AF43" s="50">
        <v>300</v>
      </c>
      <c r="AG43" s="50">
        <v>6</v>
      </c>
      <c r="AH43" s="50">
        <v>7</v>
      </c>
      <c r="AI43" s="11">
        <v>11</v>
      </c>
      <c r="AJ43" s="50" t="s">
        <v>180</v>
      </c>
      <c r="AK43" s="11">
        <v>7</v>
      </c>
      <c r="AL43" s="12"/>
      <c r="AM43" s="12"/>
      <c r="AN43" s="51"/>
      <c r="AO43" s="5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N44" s="30"/>
      <c r="U44" s="31"/>
      <c r="AC44" s="31"/>
      <c r="AN44" s="32"/>
      <c r="AO44" s="57"/>
    </row>
    <row r="45" spans="1:72">
      <c r="N45" s="30"/>
      <c r="U45" s="31"/>
      <c r="AC45" s="31"/>
      <c r="AN45" s="32"/>
      <c r="AO45" s="57"/>
    </row>
    <row r="46" spans="1:72">
      <c r="N46" s="30"/>
      <c r="U46" s="31"/>
      <c r="AC46" s="31"/>
      <c r="AN46" s="32"/>
      <c r="AO46" s="57"/>
    </row>
    <row r="47" spans="1:72">
      <c r="N47" s="30"/>
      <c r="U47" s="31"/>
      <c r="AC47" s="31"/>
      <c r="AN47" s="32"/>
      <c r="AO47" s="57"/>
    </row>
    <row r="48" spans="1:72">
      <c r="N48" s="30"/>
      <c r="U48" s="31"/>
      <c r="AC48" s="31"/>
      <c r="AN48" s="32"/>
      <c r="AO48" s="57"/>
    </row>
    <row r="49" spans="14:41">
      <c r="N49" s="30"/>
      <c r="U49" s="31"/>
      <c r="AC49" s="31"/>
      <c r="AN49" s="32"/>
      <c r="AO49" s="57"/>
    </row>
    <row r="50" spans="14:41">
      <c r="N50" s="30"/>
      <c r="U50" s="31"/>
      <c r="AC50" s="31"/>
      <c r="AN50" s="32"/>
      <c r="AO50" s="57"/>
    </row>
    <row r="51" spans="14:41">
      <c r="N51" s="30"/>
      <c r="U51" s="31"/>
      <c r="AC51" s="31"/>
      <c r="AN51" s="32"/>
      <c r="AO51" s="57"/>
    </row>
    <row r="52" spans="14:41">
      <c r="N52" s="30"/>
      <c r="U52" s="31"/>
      <c r="AC52" s="31"/>
      <c r="AN52" s="32"/>
      <c r="AO52" s="57"/>
    </row>
    <row r="53" spans="14:41">
      <c r="N53" s="30"/>
      <c r="U53" s="31"/>
      <c r="AC53" s="31"/>
      <c r="AN53" s="32"/>
      <c r="AO53" s="57"/>
    </row>
    <row r="54" spans="14:41">
      <c r="N54" s="30"/>
      <c r="U54" s="31"/>
      <c r="AC54" s="31"/>
      <c r="AN54" s="32"/>
      <c r="AO54" s="57"/>
    </row>
    <row r="55" spans="14:41">
      <c r="N55" s="30"/>
      <c r="U55" s="31"/>
      <c r="AC55" s="31"/>
      <c r="AN55" s="32"/>
      <c r="AO55" s="57"/>
    </row>
    <row r="56" spans="14:41">
      <c r="N56" s="30"/>
      <c r="U56" s="31"/>
      <c r="AC56" s="31"/>
      <c r="AN56" s="32"/>
      <c r="AO56" s="57"/>
    </row>
    <row r="57" spans="14:41">
      <c r="N57" s="30"/>
      <c r="U57" s="31"/>
      <c r="AC57" s="31"/>
      <c r="AN57" s="32"/>
      <c r="AO57" s="57"/>
    </row>
    <row r="58" spans="14:41">
      <c r="N58" s="30"/>
      <c r="U58" s="31"/>
      <c r="AC58" s="31"/>
      <c r="AN58" s="32"/>
      <c r="AO58" s="57"/>
    </row>
    <row r="59" spans="14:41">
      <c r="N59" s="30"/>
      <c r="U59" s="31"/>
      <c r="AC59" s="31"/>
      <c r="AN59" s="32"/>
      <c r="AO59" s="57"/>
    </row>
    <row r="60" spans="14:41">
      <c r="N60" s="30"/>
      <c r="U60" s="31"/>
      <c r="AC60" s="31"/>
      <c r="AN60" s="32"/>
      <c r="AO60" s="57"/>
    </row>
    <row r="61" spans="14:41">
      <c r="N61" s="30"/>
      <c r="U61" s="31"/>
      <c r="AC61" s="31"/>
      <c r="AN61" s="32"/>
      <c r="AO61" s="57"/>
    </row>
    <row r="62" spans="14:41">
      <c r="N62" s="30"/>
      <c r="U62" s="31"/>
      <c r="AC62" s="31"/>
      <c r="AN62" s="32"/>
      <c r="AO62" s="57"/>
    </row>
    <row r="63" spans="14:41">
      <c r="N63" s="30"/>
      <c r="U63" s="31"/>
      <c r="AC63" s="31"/>
      <c r="AN63" s="32"/>
      <c r="AO63" s="57"/>
    </row>
    <row r="64" spans="14:41">
      <c r="N64" s="30"/>
      <c r="U64" s="31"/>
      <c r="AC64" s="31"/>
      <c r="AN64" s="32"/>
      <c r="AO64" s="57"/>
    </row>
    <row r="65" spans="14:41">
      <c r="N65" s="30"/>
      <c r="U65" s="31"/>
      <c r="AC65" s="31"/>
      <c r="AN65" s="32"/>
      <c r="AO65" s="57"/>
    </row>
    <row r="66" spans="14:41">
      <c r="N66" s="30"/>
      <c r="U66" s="31"/>
      <c r="AC66" s="31"/>
      <c r="AN66" s="32"/>
      <c r="AO66" s="57"/>
    </row>
    <row r="67" spans="14:41">
      <c r="N67" s="30"/>
      <c r="U67" s="31"/>
      <c r="AC67" s="31"/>
      <c r="AN67" s="32"/>
      <c r="AO67" s="57"/>
    </row>
    <row r="68" spans="14:41">
      <c r="N68" s="30"/>
      <c r="U68" s="31"/>
      <c r="AC68" s="31"/>
      <c r="AN68" s="32"/>
      <c r="AO68" s="57"/>
    </row>
    <row r="69" spans="14:41">
      <c r="N69" s="30"/>
      <c r="U69" s="31"/>
      <c r="AC69" s="31"/>
      <c r="AN69" s="32"/>
      <c r="AO69" s="57"/>
    </row>
    <row r="70" spans="14:41">
      <c r="N70" s="30"/>
      <c r="U70" s="31"/>
      <c r="AC70" s="31"/>
      <c r="AN70" s="32"/>
      <c r="AO70" s="57"/>
    </row>
    <row r="71" spans="14:41">
      <c r="N71" s="30"/>
      <c r="U71" s="31"/>
      <c r="AC71" s="31"/>
      <c r="AN71" s="32"/>
      <c r="AO71" s="57"/>
    </row>
    <row r="72" spans="14:41">
      <c r="N72" s="30"/>
      <c r="U72" s="31"/>
      <c r="AC72" s="31"/>
      <c r="AN72" s="32"/>
      <c r="AO72" s="57"/>
    </row>
    <row r="73" spans="14:41">
      <c r="N73" s="30"/>
      <c r="U73" s="31"/>
      <c r="AC73" s="31"/>
      <c r="AN73" s="32"/>
      <c r="AO73" s="57"/>
    </row>
    <row r="74" spans="14:41">
      <c r="N74" s="30"/>
      <c r="U74" s="31"/>
      <c r="AC74" s="31"/>
      <c r="AN74" s="32"/>
      <c r="AO74" s="57"/>
    </row>
    <row r="75" spans="14:41">
      <c r="N75" s="30"/>
      <c r="U75" s="31"/>
      <c r="AC75" s="31"/>
      <c r="AN75" s="32"/>
      <c r="AO75" s="57"/>
    </row>
    <row r="76" spans="14:41">
      <c r="N76" s="30"/>
      <c r="U76" s="31"/>
      <c r="AC76" s="31"/>
      <c r="AN76" s="32"/>
      <c r="AO76" s="57"/>
    </row>
    <row r="77" spans="14:41">
      <c r="N77" s="30"/>
      <c r="U77" s="31"/>
      <c r="AC77" s="31"/>
      <c r="AN77" s="32"/>
      <c r="AO77" s="57"/>
    </row>
    <row r="78" spans="14:41">
      <c r="N78" s="30"/>
      <c r="U78" s="31"/>
      <c r="AC78" s="31"/>
      <c r="AN78" s="32"/>
      <c r="AO78" s="57"/>
    </row>
    <row r="79" spans="14:41">
      <c r="N79" s="30"/>
      <c r="U79" s="31"/>
      <c r="AC79" s="31"/>
      <c r="AN79" s="32"/>
      <c r="AO79" s="57"/>
    </row>
    <row r="80" spans="14:41">
      <c r="N80" s="30"/>
      <c r="U80" s="31"/>
      <c r="AC80" s="31"/>
      <c r="AN80" s="32"/>
      <c r="AO80" s="57"/>
    </row>
    <row r="81" spans="14:41">
      <c r="N81" s="30"/>
      <c r="U81" s="31"/>
      <c r="AC81" s="31"/>
      <c r="AN81" s="32"/>
      <c r="AO81" s="57"/>
    </row>
    <row r="82" spans="14:41">
      <c r="N82" s="30"/>
      <c r="U82" s="31"/>
      <c r="AC82" s="31"/>
      <c r="AN82" s="32"/>
      <c r="AO82" s="57"/>
    </row>
    <row r="83" spans="14:41">
      <c r="N83" s="30"/>
      <c r="U83" s="31"/>
      <c r="AC83" s="31"/>
      <c r="AN83" s="32"/>
      <c r="AO83" s="57"/>
    </row>
    <row r="84" spans="14:41">
      <c r="N84" s="30"/>
      <c r="U84" s="31"/>
      <c r="AC84" s="31"/>
      <c r="AN84" s="32"/>
      <c r="AO84" s="57"/>
    </row>
    <row r="85" spans="14:41">
      <c r="N85" s="30"/>
      <c r="U85" s="31"/>
      <c r="AC85" s="31"/>
      <c r="AN85" s="32"/>
      <c r="AO85" s="57"/>
    </row>
    <row r="86" spans="14:41">
      <c r="N86" s="30"/>
      <c r="U86" s="31"/>
      <c r="AC86" s="31"/>
      <c r="AN86" s="32"/>
      <c r="AO86" s="57"/>
    </row>
    <row r="87" spans="14:41">
      <c r="N87" s="30"/>
      <c r="U87" s="31"/>
      <c r="AC87" s="31"/>
      <c r="AN87" s="32"/>
      <c r="AO87" s="57"/>
    </row>
    <row r="88" spans="14:41">
      <c r="N88" s="30"/>
      <c r="U88" s="31"/>
      <c r="AC88" s="31"/>
      <c r="AN88" s="32"/>
      <c r="AO88" s="57"/>
    </row>
    <row r="89" spans="14:41">
      <c r="N89" s="30"/>
      <c r="U89" s="31"/>
      <c r="AC89" s="31"/>
      <c r="AN89" s="32"/>
      <c r="AO89" s="57"/>
    </row>
    <row r="90" spans="14:41">
      <c r="N90" s="30"/>
      <c r="U90" s="31"/>
      <c r="AC90" s="31"/>
      <c r="AN90" s="32"/>
      <c r="AO90" s="57"/>
    </row>
    <row r="91" spans="14:41">
      <c r="N91" s="30"/>
      <c r="U91" s="31"/>
      <c r="AC91" s="31"/>
      <c r="AN91" s="32"/>
      <c r="AO91" s="57"/>
    </row>
    <row r="92" spans="14:41">
      <c r="N92" s="30"/>
      <c r="U92" s="31"/>
      <c r="AC92" s="31"/>
      <c r="AN92" s="32"/>
      <c r="AO92" s="57"/>
    </row>
    <row r="93" spans="14:41">
      <c r="N93" s="30"/>
      <c r="U93" s="31"/>
      <c r="AC93" s="31"/>
      <c r="AN93" s="32"/>
      <c r="AO93" s="57"/>
    </row>
    <row r="94" spans="14:41">
      <c r="N94" s="30"/>
      <c r="U94" s="31"/>
      <c r="AC94" s="31"/>
      <c r="AN94" s="32"/>
      <c r="AO94" s="57"/>
    </row>
    <row r="95" spans="14:41">
      <c r="N95" s="30"/>
      <c r="U95" s="31"/>
      <c r="AC95" s="31"/>
      <c r="AN95" s="32"/>
      <c r="AO95" s="57"/>
    </row>
    <row r="96" spans="14:41">
      <c r="N96" s="30"/>
      <c r="U96" s="31"/>
      <c r="AC96" s="31"/>
      <c r="AN96" s="32"/>
      <c r="AO96" s="57"/>
    </row>
    <row r="97" spans="14:41">
      <c r="N97" s="30"/>
      <c r="U97" s="31"/>
      <c r="AC97" s="31"/>
      <c r="AN97" s="32"/>
      <c r="AO97" s="57"/>
    </row>
    <row r="98" spans="14:41">
      <c r="N98" s="30"/>
      <c r="U98" s="31"/>
      <c r="AC98" s="31"/>
      <c r="AN98" s="32"/>
      <c r="AO98" s="57"/>
    </row>
    <row r="99" spans="14:41">
      <c r="N99" s="30"/>
      <c r="U99" s="31"/>
      <c r="AC99" s="31"/>
      <c r="AN99" s="32"/>
      <c r="AO99" s="57"/>
    </row>
    <row r="100" spans="14:41">
      <c r="N100" s="30"/>
      <c r="U100" s="31"/>
      <c r="AC100" s="31"/>
      <c r="AN100" s="32"/>
      <c r="AO100" s="57"/>
    </row>
    <row r="101" spans="14:41">
      <c r="N101" s="30"/>
      <c r="U101" s="31"/>
      <c r="AC101" s="31"/>
      <c r="AN101" s="32"/>
      <c r="AO101" s="57"/>
    </row>
    <row r="102" spans="14:41">
      <c r="N102" s="30"/>
      <c r="U102" s="31"/>
      <c r="AC102" s="31"/>
      <c r="AN102" s="32"/>
      <c r="AO102" s="57"/>
    </row>
    <row r="103" spans="14:41">
      <c r="N103" s="30"/>
      <c r="U103" s="31"/>
      <c r="AC103" s="31"/>
      <c r="AN103" s="32"/>
      <c r="AO103" s="57"/>
    </row>
    <row r="104" spans="14:41">
      <c r="N104" s="30"/>
      <c r="U104" s="31"/>
      <c r="AC104" s="31"/>
      <c r="AN104" s="32"/>
      <c r="AO104" s="57"/>
    </row>
    <row r="105" spans="14:41">
      <c r="N105" s="30"/>
      <c r="U105" s="31"/>
      <c r="AC105" s="31"/>
      <c r="AN105" s="32"/>
      <c r="AO105" s="57"/>
    </row>
    <row r="106" spans="14:41">
      <c r="N106" s="30"/>
      <c r="U106" s="31"/>
      <c r="AC106" s="31"/>
      <c r="AN106" s="32"/>
      <c r="AO106" s="57"/>
    </row>
    <row r="107" spans="14:41">
      <c r="N107" s="30"/>
      <c r="U107" s="31"/>
      <c r="AC107" s="31"/>
      <c r="AN107" s="32"/>
      <c r="AO107" s="57"/>
    </row>
    <row r="108" spans="14:41">
      <c r="N108" s="30"/>
      <c r="U108" s="31"/>
      <c r="AC108" s="31"/>
      <c r="AN108" s="32"/>
      <c r="AO108" s="57"/>
    </row>
    <row r="109" spans="14:41">
      <c r="N109" s="30"/>
      <c r="U109" s="31"/>
      <c r="AC109" s="31"/>
      <c r="AN109" s="32"/>
      <c r="AO109" s="57"/>
    </row>
    <row r="110" spans="14:41">
      <c r="N110" s="30"/>
      <c r="U110" s="31"/>
      <c r="AC110" s="31"/>
      <c r="AN110" s="32"/>
      <c r="AO110" s="57"/>
    </row>
    <row r="111" spans="14:41">
      <c r="N111" s="30"/>
      <c r="U111" s="31"/>
      <c r="AC111" s="31"/>
      <c r="AN111" s="32"/>
      <c r="AO111" s="57"/>
    </row>
    <row r="112" spans="14:41">
      <c r="N112" s="30"/>
      <c r="U112" s="31"/>
      <c r="AC112" s="31"/>
      <c r="AN112" s="32"/>
      <c r="AO112" s="57"/>
    </row>
    <row r="113" spans="14:41">
      <c r="N113" s="30"/>
      <c r="U113" s="31"/>
      <c r="AC113" s="31"/>
      <c r="AN113" s="32"/>
      <c r="AO113" s="57"/>
    </row>
    <row r="114" spans="14:41">
      <c r="N114" s="30"/>
      <c r="U114" s="31"/>
      <c r="AC114" s="31"/>
      <c r="AN114" s="32"/>
      <c r="AO114" s="57"/>
    </row>
    <row r="115" spans="14:41">
      <c r="N115" s="30"/>
      <c r="U115" s="31"/>
      <c r="AC115" s="31"/>
      <c r="AN115" s="32"/>
      <c r="AO115" s="57"/>
    </row>
    <row r="116" spans="14:41">
      <c r="N116" s="30"/>
      <c r="U116" s="31"/>
      <c r="AC116" s="31"/>
      <c r="AN116" s="32"/>
      <c r="AO116" s="57"/>
    </row>
    <row r="117" spans="14:41">
      <c r="N117" s="30"/>
      <c r="U117" s="31"/>
      <c r="AC117" s="31"/>
      <c r="AN117" s="32"/>
      <c r="AO117" s="57"/>
    </row>
    <row r="118" spans="14:41">
      <c r="N118" s="30"/>
      <c r="U118" s="31"/>
      <c r="AC118" s="31"/>
      <c r="AN118" s="32"/>
      <c r="AO118" s="57"/>
    </row>
    <row r="119" spans="14:41">
      <c r="N119" s="30"/>
      <c r="U119" s="31"/>
      <c r="AC119" s="31"/>
      <c r="AN119" s="32"/>
      <c r="AO119" s="57"/>
    </row>
    <row r="120" spans="14:41">
      <c r="N120" s="30"/>
      <c r="U120" s="31"/>
      <c r="AC120" s="31"/>
      <c r="AN120" s="32"/>
      <c r="AO120" s="57"/>
    </row>
    <row r="121" spans="14:41">
      <c r="N121" s="30"/>
      <c r="U121" s="31"/>
      <c r="AC121" s="31"/>
      <c r="AN121" s="32"/>
      <c r="AO121" s="57"/>
    </row>
    <row r="122" spans="14:41">
      <c r="N122" s="30"/>
      <c r="U122" s="31"/>
      <c r="AC122" s="31"/>
      <c r="AN122" s="32"/>
      <c r="AO122" s="57"/>
    </row>
    <row r="123" spans="14:41">
      <c r="N123" s="30"/>
      <c r="U123" s="31"/>
      <c r="AC123" s="31"/>
      <c r="AN123" s="32"/>
      <c r="AO123" s="57"/>
    </row>
    <row r="124" spans="14:41">
      <c r="N124" s="30"/>
      <c r="U124" s="31"/>
      <c r="AC124" s="31"/>
      <c r="AN124" s="32"/>
      <c r="AO124" s="57"/>
    </row>
    <row r="125" spans="14:41">
      <c r="N125" s="30"/>
      <c r="U125" s="31"/>
      <c r="AC125" s="31"/>
      <c r="AN125" s="32"/>
      <c r="AO125" s="57"/>
    </row>
    <row r="126" spans="14:41">
      <c r="N126" s="30"/>
      <c r="U126" s="31"/>
      <c r="AC126" s="31"/>
      <c r="AN126" s="32"/>
      <c r="AO126" s="57"/>
    </row>
    <row r="127" spans="14:41">
      <c r="N127" s="30"/>
      <c r="U127" s="31"/>
      <c r="AC127" s="31"/>
      <c r="AN127" s="32"/>
      <c r="AO127" s="57"/>
    </row>
    <row r="128" spans="14:41">
      <c r="N128" s="30"/>
      <c r="U128" s="31"/>
      <c r="AC128" s="31"/>
      <c r="AN128" s="32"/>
      <c r="AO128" s="57"/>
    </row>
    <row r="129" spans="14:41">
      <c r="N129" s="30"/>
      <c r="U129" s="31"/>
      <c r="AC129" s="31"/>
      <c r="AN129" s="32"/>
      <c r="AO129" s="57"/>
    </row>
    <row r="130" spans="14:41">
      <c r="N130" s="30"/>
      <c r="U130" s="31"/>
      <c r="AC130" s="31"/>
      <c r="AN130" s="32"/>
      <c r="AO130" s="57"/>
    </row>
    <row r="131" spans="14:41">
      <c r="N131" s="30"/>
      <c r="U131" s="31"/>
      <c r="AC131" s="31"/>
      <c r="AN131" s="32"/>
      <c r="AO131" s="57"/>
    </row>
    <row r="132" spans="14:41">
      <c r="N132" s="30"/>
      <c r="U132" s="31"/>
      <c r="AC132" s="31"/>
      <c r="AN132" s="32"/>
      <c r="AO132" s="57"/>
    </row>
    <row r="133" spans="14:41">
      <c r="N133" s="30"/>
      <c r="U133" s="31"/>
      <c r="AC133" s="31"/>
      <c r="AN133" s="32"/>
      <c r="AO133" s="57"/>
    </row>
    <row r="134" spans="14:41">
      <c r="N134" s="30"/>
      <c r="U134" s="31"/>
      <c r="AC134" s="31"/>
      <c r="AN134" s="32"/>
      <c r="AO134" s="57"/>
    </row>
    <row r="135" spans="14:41">
      <c r="N135" s="30"/>
      <c r="U135" s="31"/>
      <c r="AC135" s="31"/>
      <c r="AN135" s="32"/>
      <c r="AO135" s="57"/>
    </row>
    <row r="136" spans="14:41">
      <c r="N136" s="30"/>
      <c r="U136" s="31"/>
      <c r="AC136" s="31"/>
      <c r="AN136" s="32"/>
      <c r="AO136" s="57"/>
    </row>
    <row r="137" spans="14:41">
      <c r="N137" s="30"/>
      <c r="U137" s="31"/>
      <c r="AC137" s="31"/>
      <c r="AN137" s="32"/>
      <c r="AO137" s="57"/>
    </row>
    <row r="138" spans="14:41">
      <c r="N138" s="30"/>
      <c r="U138" s="31"/>
      <c r="AC138" s="31"/>
      <c r="AN138" s="32"/>
      <c r="AO138" s="57"/>
    </row>
    <row r="139" spans="14:41">
      <c r="N139" s="30"/>
      <c r="U139" s="31"/>
      <c r="AC139" s="31"/>
      <c r="AN139" s="32"/>
      <c r="AO139" s="57"/>
    </row>
    <row r="140" spans="14:41">
      <c r="N140" s="30"/>
      <c r="U140" s="31"/>
      <c r="AC140" s="31"/>
      <c r="AN140" s="32"/>
      <c r="AO140" s="57"/>
    </row>
    <row r="141" spans="14:41">
      <c r="N141" s="30"/>
      <c r="U141" s="31"/>
      <c r="AC141" s="31"/>
      <c r="AN141" s="32"/>
      <c r="AO141" s="57"/>
    </row>
    <row r="142" spans="14:41">
      <c r="N142" s="30"/>
      <c r="U142" s="31"/>
      <c r="AC142" s="31"/>
      <c r="AN142" s="32"/>
      <c r="AO142" s="57"/>
    </row>
    <row r="143" spans="14:41">
      <c r="N143" s="30"/>
      <c r="U143" s="31"/>
      <c r="AC143" s="31"/>
      <c r="AN143" s="32"/>
      <c r="AO143" s="57"/>
    </row>
    <row r="144" spans="14:41">
      <c r="N144" s="30"/>
      <c r="U144" s="31"/>
      <c r="AC144" s="31"/>
      <c r="AN144" s="32"/>
      <c r="AO144" s="57"/>
    </row>
    <row r="145" spans="14:41">
      <c r="N145" s="30"/>
      <c r="U145" s="31"/>
      <c r="AC145" s="31"/>
      <c r="AN145" s="32"/>
      <c r="AO145" s="57"/>
    </row>
    <row r="146" spans="14:41">
      <c r="N146" s="30"/>
      <c r="U146" s="31"/>
      <c r="AC146" s="31"/>
      <c r="AN146" s="32"/>
      <c r="AO146" s="57"/>
    </row>
    <row r="147" spans="14:41">
      <c r="N147" s="30"/>
      <c r="U147" s="31"/>
      <c r="AC147" s="31"/>
      <c r="AN147" s="32"/>
      <c r="AO147" s="57"/>
    </row>
    <row r="148" spans="14:41">
      <c r="N148" s="30"/>
      <c r="U148" s="31"/>
      <c r="AC148" s="31"/>
      <c r="AN148" s="32"/>
      <c r="AO148" s="57"/>
    </row>
    <row r="149" spans="14:41">
      <c r="N149" s="30"/>
      <c r="U149" s="31"/>
      <c r="AC149" s="31"/>
      <c r="AN149" s="32"/>
      <c r="AO149" s="57"/>
    </row>
    <row r="150" spans="14:41">
      <c r="N150" s="30"/>
      <c r="U150" s="31"/>
      <c r="AC150" s="31"/>
      <c r="AN150" s="32"/>
      <c r="AO150" s="57"/>
    </row>
    <row r="151" spans="14:41">
      <c r="N151" s="30"/>
      <c r="U151" s="31"/>
      <c r="AC151" s="31"/>
      <c r="AN151" s="32"/>
      <c r="AO151" s="57"/>
    </row>
    <row r="152" spans="14:41">
      <c r="N152" s="30"/>
      <c r="U152" s="31"/>
      <c r="AC152" s="31"/>
      <c r="AN152" s="32"/>
      <c r="AO152" s="57"/>
    </row>
    <row r="153" spans="14:41">
      <c r="N153" s="30"/>
      <c r="U153" s="31"/>
      <c r="AC153" s="31"/>
      <c r="AN153" s="32"/>
      <c r="AO153" s="57"/>
    </row>
    <row r="154" spans="14:41">
      <c r="N154" s="30"/>
      <c r="U154" s="31"/>
      <c r="AC154" s="31"/>
      <c r="AN154" s="32"/>
      <c r="AO154" s="57"/>
    </row>
    <row r="155" spans="14:41">
      <c r="N155" s="30"/>
      <c r="U155" s="31"/>
      <c r="AC155" s="31"/>
      <c r="AN155" s="32"/>
      <c r="AO155" s="57"/>
    </row>
    <row r="156" spans="14:41">
      <c r="N156" s="30"/>
      <c r="U156" s="31"/>
      <c r="AC156" s="31"/>
      <c r="AN156" s="32"/>
      <c r="AO156" s="57"/>
    </row>
    <row r="157" spans="14:41">
      <c r="N157" s="30"/>
      <c r="U157" s="31"/>
      <c r="AC157" s="31"/>
      <c r="AN157" s="32"/>
      <c r="AO157" s="57"/>
    </row>
    <row r="158" spans="14:41">
      <c r="N158" s="30"/>
      <c r="U158" s="31"/>
      <c r="AC158" s="31"/>
      <c r="AN158" s="32"/>
      <c r="AO158" s="57"/>
    </row>
    <row r="159" spans="14:41">
      <c r="N159" s="30"/>
      <c r="U159" s="31"/>
      <c r="AC159" s="31"/>
      <c r="AN159" s="32"/>
      <c r="AO159" s="57"/>
    </row>
    <row r="160" spans="14:41">
      <c r="N160" s="30"/>
      <c r="U160" s="31"/>
      <c r="AC160" s="31"/>
      <c r="AN160" s="32"/>
      <c r="AO160" s="57"/>
    </row>
    <row r="161" spans="14:41">
      <c r="N161" s="30"/>
      <c r="U161" s="31"/>
      <c r="AC161" s="31"/>
      <c r="AN161" s="32"/>
      <c r="AO161" s="57"/>
    </row>
    <row r="162" spans="14:41">
      <c r="N162" s="30"/>
      <c r="U162" s="31"/>
      <c r="AC162" s="31"/>
      <c r="AN162" s="32"/>
      <c r="AO162" s="57"/>
    </row>
    <row r="163" spans="14:41">
      <c r="N163" s="30"/>
      <c r="U163" s="31"/>
      <c r="AC163" s="31"/>
      <c r="AN163" s="32"/>
      <c r="AO163" s="57"/>
    </row>
    <row r="164" spans="14:41">
      <c r="N164" s="30"/>
      <c r="U164" s="31"/>
      <c r="AC164" s="31"/>
      <c r="AN164" s="32"/>
      <c r="AO164" s="57"/>
    </row>
    <row r="165" spans="14:41">
      <c r="N165" s="30"/>
      <c r="U165" s="31"/>
      <c r="AC165" s="31"/>
      <c r="AN165" s="32"/>
      <c r="AO165" s="57"/>
    </row>
    <row r="166" spans="14:41">
      <c r="N166" s="30"/>
      <c r="U166" s="31"/>
      <c r="AC166" s="31"/>
      <c r="AN166" s="32"/>
      <c r="AO166" s="57"/>
    </row>
    <row r="167" spans="14:41">
      <c r="N167" s="30"/>
      <c r="U167" s="31"/>
      <c r="AC167" s="31"/>
      <c r="AN167" s="32"/>
      <c r="AO167" s="57"/>
    </row>
    <row r="168" spans="14:41">
      <c r="N168" s="30"/>
      <c r="U168" s="31"/>
      <c r="AC168" s="31"/>
      <c r="AN168" s="32"/>
      <c r="AO168" s="57"/>
    </row>
    <row r="169" spans="14:41">
      <c r="N169" s="30"/>
      <c r="U169" s="31"/>
      <c r="AC169" s="31"/>
      <c r="AN169" s="32"/>
      <c r="AO169" s="57"/>
    </row>
    <row r="170" spans="14:41">
      <c r="N170" s="30"/>
      <c r="U170" s="31"/>
      <c r="AC170" s="31"/>
      <c r="AN170" s="32"/>
      <c r="AO170" s="57"/>
    </row>
    <row r="171" spans="14:41">
      <c r="N171" s="30"/>
      <c r="U171" s="31"/>
      <c r="AC171" s="31"/>
      <c r="AN171" s="32"/>
      <c r="AO171" s="57"/>
    </row>
    <row r="172" spans="14:41">
      <c r="N172" s="30"/>
      <c r="U172" s="31"/>
      <c r="AC172" s="31"/>
      <c r="AN172" s="32"/>
      <c r="AO172" s="57"/>
    </row>
    <row r="173" spans="14:41">
      <c r="N173" s="30"/>
      <c r="U173" s="31"/>
      <c r="AC173" s="31"/>
      <c r="AN173" s="32"/>
      <c r="AO173" s="57"/>
    </row>
    <row r="174" spans="14:41">
      <c r="N174" s="30"/>
      <c r="U174" s="31"/>
      <c r="AC174" s="31"/>
      <c r="AN174" s="32"/>
      <c r="AO174" s="57"/>
    </row>
    <row r="175" spans="14:41">
      <c r="N175" s="30"/>
      <c r="U175" s="31"/>
      <c r="AC175" s="31"/>
      <c r="AN175" s="32"/>
      <c r="AO175" s="57"/>
    </row>
    <row r="176" spans="14:41">
      <c r="N176" s="30"/>
      <c r="U176" s="31"/>
      <c r="AC176" s="31"/>
      <c r="AN176" s="32"/>
      <c r="AO176" s="57"/>
    </row>
    <row r="177" spans="14:41">
      <c r="N177" s="30"/>
      <c r="U177" s="31"/>
      <c r="AC177" s="31"/>
      <c r="AN177" s="32"/>
      <c r="AO177" s="57"/>
    </row>
    <row r="178" spans="14:41">
      <c r="N178" s="30"/>
      <c r="U178" s="31"/>
      <c r="AC178" s="31"/>
      <c r="AN178" s="32"/>
      <c r="AO178" s="57"/>
    </row>
    <row r="179" spans="14:41">
      <c r="N179" s="30"/>
      <c r="U179" s="31"/>
      <c r="AC179" s="31"/>
      <c r="AN179" s="32"/>
      <c r="AO179" s="57"/>
    </row>
    <row r="180" spans="14:41">
      <c r="N180" s="30"/>
      <c r="U180" s="31"/>
      <c r="AC180" s="31"/>
      <c r="AN180" s="32"/>
      <c r="AO180" s="57"/>
    </row>
    <row r="181" spans="14:41">
      <c r="N181" s="30"/>
      <c r="U181" s="31"/>
      <c r="AC181" s="31"/>
      <c r="AN181" s="32"/>
      <c r="AO181" s="57"/>
    </row>
    <row r="182" spans="14:41">
      <c r="N182" s="30"/>
      <c r="U182" s="31"/>
      <c r="AC182" s="31"/>
      <c r="AN182" s="32"/>
      <c r="AO182" s="57"/>
    </row>
    <row r="183" spans="14:41">
      <c r="N183" s="30"/>
      <c r="U183" s="31"/>
      <c r="AC183" s="31"/>
      <c r="AN183" s="32"/>
      <c r="AO183" s="57"/>
    </row>
    <row r="184" spans="14:41">
      <c r="N184" s="30"/>
      <c r="U184" s="31"/>
      <c r="AC184" s="31"/>
      <c r="AN184" s="32"/>
      <c r="AO184" s="57"/>
    </row>
    <row r="185" spans="14:41">
      <c r="N185" s="30"/>
      <c r="U185" s="31"/>
      <c r="AC185" s="31"/>
      <c r="AN185" s="32"/>
      <c r="AO185" s="57"/>
    </row>
    <row r="186" spans="14:41">
      <c r="N186" s="30"/>
      <c r="U186" s="31"/>
      <c r="AC186" s="31"/>
      <c r="AN186" s="32"/>
      <c r="AO186" s="57"/>
    </row>
    <row r="187" spans="14:41">
      <c r="N187" s="30"/>
      <c r="U187" s="31"/>
      <c r="AC187" s="31"/>
      <c r="AN187" s="32"/>
      <c r="AO187" s="57"/>
    </row>
    <row r="188" spans="14:41">
      <c r="N188" s="30"/>
      <c r="U188" s="31"/>
      <c r="AC188" s="31"/>
      <c r="AN188" s="32"/>
      <c r="AO188" s="57"/>
    </row>
    <row r="189" spans="14:41">
      <c r="N189" s="30"/>
      <c r="U189" s="31"/>
      <c r="AC189" s="31"/>
      <c r="AN189" s="32"/>
      <c r="AO189" s="57"/>
    </row>
    <row r="190" spans="14:41">
      <c r="N190" s="30"/>
      <c r="U190" s="31"/>
      <c r="AC190" s="31"/>
      <c r="AN190" s="32"/>
      <c r="AO190" s="57"/>
    </row>
    <row r="191" spans="14:41">
      <c r="N191" s="30"/>
      <c r="U191" s="31"/>
      <c r="AC191" s="31"/>
      <c r="AN191" s="32"/>
      <c r="AO191" s="57"/>
    </row>
    <row r="192" spans="14:41">
      <c r="N192" s="30"/>
      <c r="U192" s="31"/>
      <c r="AC192" s="31"/>
      <c r="AN192" s="32"/>
      <c r="AO192" s="57"/>
    </row>
    <row r="193" spans="14:41">
      <c r="N193" s="30"/>
      <c r="U193" s="31"/>
      <c r="AC193" s="31"/>
      <c r="AN193" s="32"/>
      <c r="AO193" s="57"/>
    </row>
    <row r="194" spans="14:41">
      <c r="N194" s="30"/>
      <c r="U194" s="31"/>
      <c r="AC194" s="31"/>
      <c r="AN194" s="32"/>
      <c r="AO194" s="57"/>
    </row>
    <row r="195" spans="14:41">
      <c r="N195" s="30"/>
      <c r="U195" s="31"/>
      <c r="AC195" s="31"/>
      <c r="AN195" s="32"/>
      <c r="AO195" s="57"/>
    </row>
    <row r="196" spans="14:41">
      <c r="N196" s="30"/>
      <c r="U196" s="31"/>
      <c r="AC196" s="31"/>
      <c r="AN196" s="32"/>
      <c r="AO196" s="57"/>
    </row>
    <row r="197" spans="14:41">
      <c r="N197" s="30"/>
      <c r="U197" s="31"/>
      <c r="AC197" s="31"/>
      <c r="AN197" s="32"/>
      <c r="AO197" s="57"/>
    </row>
    <row r="198" spans="14:41">
      <c r="N198" s="30"/>
      <c r="U198" s="31"/>
      <c r="AC198" s="31"/>
      <c r="AN198" s="32"/>
      <c r="AO198" s="57"/>
    </row>
    <row r="199" spans="14:41">
      <c r="N199" s="30"/>
      <c r="U199" s="31"/>
      <c r="AC199" s="31"/>
      <c r="AN199" s="32"/>
      <c r="AO199" s="57"/>
    </row>
    <row r="200" spans="14:41">
      <c r="N200" s="30"/>
      <c r="U200" s="31"/>
      <c r="AC200" s="31"/>
      <c r="AN200" s="32"/>
      <c r="AO200" s="57"/>
    </row>
    <row r="201" spans="14:41">
      <c r="N201" s="30"/>
      <c r="U201" s="31"/>
      <c r="AC201" s="31"/>
      <c r="AN201" s="32"/>
      <c r="AO201" s="57"/>
    </row>
    <row r="202" spans="14:41">
      <c r="N202" s="30"/>
      <c r="U202" s="31"/>
      <c r="AC202" s="31"/>
      <c r="AN202" s="32"/>
      <c r="AO202" s="57"/>
    </row>
    <row r="203" spans="14:41">
      <c r="N203" s="30"/>
      <c r="U203" s="31"/>
      <c r="AC203" s="31"/>
      <c r="AN203" s="32"/>
      <c r="AO203" s="57"/>
    </row>
    <row r="204" spans="14:41">
      <c r="N204" s="30"/>
      <c r="U204" s="31"/>
      <c r="AC204" s="31"/>
      <c r="AN204" s="32"/>
      <c r="AO204" s="57"/>
    </row>
    <row r="205" spans="14:41">
      <c r="N205" s="30"/>
      <c r="U205" s="31"/>
      <c r="AC205" s="31"/>
      <c r="AN205" s="32"/>
      <c r="AO205" s="57"/>
    </row>
    <row r="206" spans="14:41">
      <c r="N206" s="30"/>
      <c r="U206" s="31"/>
      <c r="AC206" s="31"/>
      <c r="AN206" s="32"/>
      <c r="AO206" s="57"/>
    </row>
    <row r="207" spans="14:41">
      <c r="N207" s="30"/>
      <c r="U207" s="31"/>
      <c r="AC207" s="31"/>
      <c r="AN207" s="32"/>
      <c r="AO207" s="57"/>
    </row>
    <row r="208" spans="14:41">
      <c r="N208" s="30"/>
      <c r="U208" s="31"/>
      <c r="AC208" s="31"/>
      <c r="AN208" s="32"/>
      <c r="AO208" s="57"/>
    </row>
    <row r="209" spans="14:41">
      <c r="N209" s="30"/>
      <c r="U209" s="31"/>
      <c r="AC209" s="31"/>
      <c r="AN209" s="32"/>
      <c r="AO209" s="57"/>
    </row>
    <row r="210" spans="14:41">
      <c r="N210" s="30"/>
      <c r="U210" s="31"/>
      <c r="AC210" s="31"/>
      <c r="AN210" s="32"/>
      <c r="AO210" s="57"/>
    </row>
    <row r="211" spans="14:41">
      <c r="N211" s="30"/>
      <c r="U211" s="31"/>
      <c r="AC211" s="31"/>
      <c r="AN211" s="32"/>
      <c r="AO211" s="57"/>
    </row>
    <row r="212" spans="14:41">
      <c r="N212" s="30"/>
      <c r="U212" s="31"/>
      <c r="AC212" s="31"/>
      <c r="AN212" s="32"/>
      <c r="AO212" s="57"/>
    </row>
    <row r="213" spans="14:41">
      <c r="N213" s="30"/>
      <c r="U213" s="31"/>
      <c r="AC213" s="31"/>
      <c r="AN213" s="32"/>
      <c r="AO213" s="57"/>
    </row>
    <row r="214" spans="14:41">
      <c r="N214" s="30"/>
      <c r="U214" s="31"/>
      <c r="AC214" s="31"/>
      <c r="AN214" s="32"/>
      <c r="AO214" s="57"/>
    </row>
    <row r="215" spans="14:41">
      <c r="N215" s="30"/>
      <c r="U215" s="31"/>
      <c r="AC215" s="31"/>
      <c r="AN215" s="32"/>
      <c r="AO215" s="57"/>
    </row>
    <row r="216" spans="14:41">
      <c r="N216" s="30"/>
      <c r="U216" s="31"/>
      <c r="AC216" s="31"/>
      <c r="AN216" s="32"/>
      <c r="AO216" s="57"/>
    </row>
    <row r="217" spans="14:41">
      <c r="N217" s="30"/>
      <c r="U217" s="31"/>
      <c r="AC217" s="31"/>
      <c r="AN217" s="32"/>
      <c r="AO217" s="57"/>
    </row>
    <row r="218" spans="14:41">
      <c r="N218" s="30"/>
      <c r="U218" s="31"/>
      <c r="AC218" s="31"/>
      <c r="AN218" s="32"/>
      <c r="AO218" s="57"/>
    </row>
    <row r="219" spans="14:41">
      <c r="N219" s="30"/>
      <c r="U219" s="31"/>
      <c r="AC219" s="31"/>
      <c r="AN219" s="32"/>
      <c r="AO219" s="57"/>
    </row>
    <row r="220" spans="14:41">
      <c r="N220" s="30"/>
      <c r="U220" s="31"/>
      <c r="AC220" s="31"/>
      <c r="AN220" s="32"/>
      <c r="AO220" s="57"/>
    </row>
    <row r="221" spans="14:41">
      <c r="N221" s="30"/>
      <c r="U221" s="31"/>
      <c r="AC221" s="31"/>
      <c r="AN221" s="32"/>
      <c r="AO221" s="57"/>
    </row>
    <row r="222" spans="14:41">
      <c r="N222" s="30"/>
      <c r="U222" s="31"/>
      <c r="AC222" s="31"/>
      <c r="AN222" s="32"/>
      <c r="AO222" s="57"/>
    </row>
    <row r="223" spans="14:41">
      <c r="N223" s="30"/>
      <c r="U223" s="31"/>
      <c r="AC223" s="31"/>
      <c r="AN223" s="32"/>
      <c r="AO223" s="57"/>
    </row>
    <row r="224" spans="14:41">
      <c r="N224" s="30"/>
      <c r="U224" s="31"/>
      <c r="AC224" s="31"/>
      <c r="AN224" s="32"/>
      <c r="AO224" s="57"/>
    </row>
    <row r="225" spans="14:41">
      <c r="N225" s="30"/>
      <c r="U225" s="31"/>
      <c r="AC225" s="31"/>
      <c r="AN225" s="32"/>
      <c r="AO225" s="57"/>
    </row>
    <row r="226" spans="14:41">
      <c r="N226" s="30"/>
      <c r="U226" s="31"/>
      <c r="AC226" s="31"/>
      <c r="AN226" s="32"/>
      <c r="AO226" s="57"/>
    </row>
    <row r="227" spans="14:41">
      <c r="N227" s="30"/>
      <c r="U227" s="31"/>
      <c r="AC227" s="31"/>
      <c r="AN227" s="32"/>
      <c r="AO227" s="57"/>
    </row>
    <row r="228" spans="14:41">
      <c r="N228" s="30"/>
      <c r="U228" s="31"/>
      <c r="AC228" s="31"/>
      <c r="AN228" s="32"/>
      <c r="AO228" s="57"/>
    </row>
    <row r="229" spans="14:41">
      <c r="N229" s="30"/>
      <c r="U229" s="31"/>
      <c r="AC229" s="31"/>
      <c r="AN229" s="32"/>
      <c r="AO229" s="57"/>
    </row>
    <row r="230" spans="14:41">
      <c r="N230" s="30"/>
      <c r="U230" s="31"/>
      <c r="AC230" s="31"/>
      <c r="AN230" s="32"/>
      <c r="AO230" s="57"/>
    </row>
    <row r="231" spans="14:41">
      <c r="N231" s="30"/>
      <c r="U231" s="31"/>
      <c r="AC231" s="31"/>
      <c r="AN231" s="32"/>
      <c r="AO231" s="57"/>
    </row>
    <row r="232" spans="14:41">
      <c r="N232" s="30"/>
      <c r="U232" s="31"/>
      <c r="AC232" s="31"/>
      <c r="AN232" s="32"/>
      <c r="AO232" s="57"/>
    </row>
    <row r="233" spans="14:41">
      <c r="N233" s="30"/>
      <c r="U233" s="31"/>
      <c r="AC233" s="31"/>
      <c r="AN233" s="32"/>
      <c r="AO233" s="57"/>
    </row>
    <row r="234" spans="14:41">
      <c r="N234" s="30"/>
      <c r="U234" s="31"/>
      <c r="AC234" s="31"/>
      <c r="AN234" s="32"/>
      <c r="AO234" s="57"/>
    </row>
    <row r="235" spans="14:41">
      <c r="N235" s="30"/>
      <c r="U235" s="31"/>
      <c r="AC235" s="31"/>
      <c r="AN235" s="32"/>
      <c r="AO235" s="57"/>
    </row>
    <row r="236" spans="14:41">
      <c r="N236" s="30"/>
      <c r="U236" s="31"/>
      <c r="AC236" s="31"/>
      <c r="AN236" s="32"/>
      <c r="AO236" s="57"/>
    </row>
    <row r="237" spans="14:41">
      <c r="N237" s="30"/>
      <c r="U237" s="31"/>
      <c r="AC237" s="31"/>
      <c r="AN237" s="32"/>
      <c r="AO237" s="57"/>
    </row>
    <row r="238" spans="14:41">
      <c r="N238" s="30"/>
      <c r="U238" s="31"/>
      <c r="AC238" s="31"/>
      <c r="AN238" s="32"/>
      <c r="AO238" s="57"/>
    </row>
    <row r="239" spans="14:41">
      <c r="N239" s="30"/>
      <c r="U239" s="31"/>
      <c r="AC239" s="31"/>
      <c r="AN239" s="32"/>
      <c r="AO239" s="57"/>
    </row>
    <row r="240" spans="14:41">
      <c r="N240" s="30"/>
      <c r="U240" s="31"/>
      <c r="AC240" s="31"/>
      <c r="AN240" s="32"/>
      <c r="AO240" s="57"/>
    </row>
    <row r="241" spans="14:41">
      <c r="N241" s="30"/>
      <c r="U241" s="31"/>
      <c r="AC241" s="31"/>
      <c r="AN241" s="32"/>
      <c r="AO241" s="57"/>
    </row>
    <row r="242" spans="14:41">
      <c r="N242" s="30"/>
      <c r="U242" s="31"/>
      <c r="AC242" s="31"/>
      <c r="AN242" s="32"/>
      <c r="AO242" s="57"/>
    </row>
    <row r="243" spans="14:41">
      <c r="N243" s="30"/>
      <c r="U243" s="31"/>
      <c r="AC243" s="31"/>
      <c r="AN243" s="32"/>
      <c r="AO243" s="57"/>
    </row>
    <row r="244" spans="14:41">
      <c r="N244" s="30"/>
      <c r="U244" s="31"/>
      <c r="AC244" s="31"/>
      <c r="AN244" s="32"/>
      <c r="AO244" s="57"/>
    </row>
    <row r="245" spans="14:41">
      <c r="N245" s="30"/>
      <c r="U245" s="31"/>
      <c r="AC245" s="31"/>
      <c r="AN245" s="32"/>
      <c r="AO245" s="57"/>
    </row>
    <row r="246" spans="14:41">
      <c r="N246" s="30"/>
      <c r="U246" s="31"/>
      <c r="AC246" s="31"/>
      <c r="AN246" s="32"/>
      <c r="AO246" s="57"/>
    </row>
    <row r="247" spans="14:41">
      <c r="N247" s="30"/>
      <c r="U247" s="31"/>
      <c r="AC247" s="31"/>
      <c r="AN247" s="32"/>
      <c r="AO247" s="57"/>
    </row>
    <row r="248" spans="14:41">
      <c r="N248" s="30"/>
      <c r="U248" s="31"/>
      <c r="AC248" s="31"/>
      <c r="AN248" s="32"/>
      <c r="AO248" s="57"/>
    </row>
    <row r="249" spans="14:41">
      <c r="N249" s="30"/>
      <c r="U249" s="31"/>
      <c r="AC249" s="31"/>
      <c r="AN249" s="32"/>
      <c r="AO249" s="57"/>
    </row>
    <row r="250" spans="14:41">
      <c r="N250" s="30"/>
      <c r="U250" s="31"/>
      <c r="AC250" s="31"/>
      <c r="AN250" s="32"/>
      <c r="AO250" s="57"/>
    </row>
    <row r="251" spans="14:41">
      <c r="N251" s="30"/>
      <c r="U251" s="31"/>
      <c r="AC251" s="31"/>
      <c r="AN251" s="32"/>
      <c r="AO251" s="57"/>
    </row>
    <row r="252" spans="14:41">
      <c r="N252" s="30"/>
      <c r="U252" s="31"/>
      <c r="AC252" s="31"/>
      <c r="AN252" s="32"/>
      <c r="AO252" s="57"/>
    </row>
    <row r="253" spans="14:41">
      <c r="N253" s="30"/>
      <c r="U253" s="31"/>
      <c r="AC253" s="31"/>
      <c r="AN253" s="32"/>
      <c r="AO253" s="57"/>
    </row>
    <row r="254" spans="14:41">
      <c r="N254" s="30"/>
      <c r="U254" s="31"/>
      <c r="AC254" s="31"/>
      <c r="AN254" s="32"/>
      <c r="AO254" s="57"/>
    </row>
    <row r="255" spans="14:41">
      <c r="N255" s="30"/>
      <c r="U255" s="31"/>
      <c r="AC255" s="31"/>
      <c r="AN255" s="32"/>
      <c r="AO255" s="57"/>
    </row>
    <row r="256" spans="14:41">
      <c r="N256" s="30"/>
      <c r="U256" s="31"/>
      <c r="AC256" s="31"/>
      <c r="AN256" s="32"/>
      <c r="AO256" s="57"/>
    </row>
    <row r="257" spans="14:41">
      <c r="N257" s="30"/>
      <c r="U257" s="31"/>
      <c r="AC257" s="31"/>
      <c r="AN257" s="32"/>
      <c r="AO257" s="57"/>
    </row>
    <row r="258" spans="14:41">
      <c r="N258" s="30"/>
      <c r="U258" s="31"/>
      <c r="AC258" s="31"/>
      <c r="AN258" s="32"/>
      <c r="AO258" s="57"/>
    </row>
    <row r="259" spans="14:41">
      <c r="N259" s="30"/>
      <c r="U259" s="31"/>
      <c r="AC259" s="31"/>
      <c r="AN259" s="32"/>
      <c r="AO259" s="57"/>
    </row>
    <row r="260" spans="14:41">
      <c r="N260" s="30"/>
      <c r="U260" s="31"/>
      <c r="AC260" s="31"/>
      <c r="AN260" s="32"/>
      <c r="AO260" s="57"/>
    </row>
    <row r="261" spans="14:41">
      <c r="N261" s="30"/>
      <c r="U261" s="31"/>
      <c r="AC261" s="31"/>
      <c r="AN261" s="32"/>
      <c r="AO261" s="57"/>
    </row>
    <row r="262" spans="14:41">
      <c r="N262" s="30"/>
      <c r="U262" s="31"/>
      <c r="AC262" s="31"/>
      <c r="AN262" s="32"/>
      <c r="AO262" s="57"/>
    </row>
    <row r="263" spans="14:41">
      <c r="N263" s="30"/>
      <c r="U263" s="31"/>
      <c r="AC263" s="31"/>
      <c r="AN263" s="32"/>
      <c r="AO263" s="57"/>
    </row>
    <row r="264" spans="14:41">
      <c r="N264" s="30"/>
      <c r="U264" s="31"/>
      <c r="AC264" s="31"/>
      <c r="AN264" s="32"/>
      <c r="AO264" s="57"/>
    </row>
    <row r="265" spans="14:41">
      <c r="N265" s="30"/>
      <c r="U265" s="31"/>
      <c r="AC265" s="31"/>
      <c r="AN265" s="32"/>
      <c r="AO265" s="57"/>
    </row>
    <row r="266" spans="14:41">
      <c r="N266" s="30"/>
      <c r="U266" s="31"/>
      <c r="AC266" s="31"/>
      <c r="AN266" s="32"/>
      <c r="AO266" s="57"/>
    </row>
    <row r="267" spans="14:41">
      <c r="N267" s="30"/>
      <c r="U267" s="31"/>
      <c r="AC267" s="31"/>
      <c r="AN267" s="32"/>
      <c r="AO267" s="57"/>
    </row>
    <row r="268" spans="14:41">
      <c r="N268" s="30"/>
      <c r="U268" s="31"/>
      <c r="AC268" s="31"/>
      <c r="AN268" s="32"/>
      <c r="AO268" s="57"/>
    </row>
    <row r="269" spans="14:41">
      <c r="N269" s="30"/>
      <c r="U269" s="31"/>
      <c r="AC269" s="31"/>
      <c r="AN269" s="32"/>
      <c r="AO269" s="57"/>
    </row>
    <row r="270" spans="14:41">
      <c r="N270" s="30"/>
      <c r="U270" s="31"/>
      <c r="AC270" s="31"/>
      <c r="AN270" s="32"/>
      <c r="AO270" s="57"/>
    </row>
    <row r="271" spans="14:41">
      <c r="N271" s="30"/>
      <c r="U271" s="31"/>
      <c r="AC271" s="31"/>
      <c r="AN271" s="32"/>
      <c r="AO271" s="57"/>
    </row>
    <row r="272" spans="14:41">
      <c r="N272" s="30"/>
      <c r="U272" s="31"/>
      <c r="AC272" s="31"/>
      <c r="AN272" s="32"/>
      <c r="AO272" s="57"/>
    </row>
    <row r="273" spans="14:41">
      <c r="N273" s="30"/>
      <c r="U273" s="31"/>
      <c r="AC273" s="31"/>
      <c r="AN273" s="32"/>
      <c r="AO273" s="57"/>
    </row>
    <row r="274" spans="14:41">
      <c r="N274" s="30"/>
      <c r="U274" s="31"/>
      <c r="AC274" s="31"/>
      <c r="AN274" s="32"/>
      <c r="AO274" s="57"/>
    </row>
    <row r="275" spans="14:41">
      <c r="N275" s="30"/>
      <c r="U275" s="31"/>
      <c r="AC275" s="31"/>
      <c r="AN275" s="32"/>
      <c r="AO275" s="57"/>
    </row>
    <row r="276" spans="14:41">
      <c r="N276" s="30"/>
      <c r="U276" s="31"/>
      <c r="AC276" s="31"/>
      <c r="AN276" s="32"/>
      <c r="AO276" s="57"/>
    </row>
    <row r="277" spans="14:41">
      <c r="N277" s="30"/>
      <c r="U277" s="31"/>
      <c r="AC277" s="31"/>
      <c r="AN277" s="32"/>
      <c r="AO277" s="57"/>
    </row>
    <row r="278" spans="14:41">
      <c r="N278" s="30"/>
      <c r="U278" s="31"/>
      <c r="AC278" s="31"/>
      <c r="AN278" s="32"/>
      <c r="AO278" s="57"/>
    </row>
    <row r="279" spans="14:41">
      <c r="N279" s="30"/>
      <c r="U279" s="31"/>
      <c r="AC279" s="31"/>
      <c r="AN279" s="32"/>
      <c r="AO279" s="57"/>
    </row>
    <row r="280" spans="14:41">
      <c r="N280" s="30"/>
      <c r="U280" s="31"/>
      <c r="AC280" s="31"/>
      <c r="AN280" s="32"/>
      <c r="AO280" s="57"/>
    </row>
    <row r="281" spans="14:41">
      <c r="N281" s="30"/>
      <c r="U281" s="31"/>
      <c r="AC281" s="31"/>
      <c r="AN281" s="32"/>
      <c r="AO281" s="57"/>
    </row>
    <row r="282" spans="14:41">
      <c r="N282" s="30"/>
      <c r="U282" s="31"/>
      <c r="AC282" s="31"/>
      <c r="AN282" s="32"/>
      <c r="AO282" s="57"/>
    </row>
    <row r="283" spans="14:41">
      <c r="N283" s="30"/>
      <c r="U283" s="31"/>
      <c r="AC283" s="31"/>
      <c r="AN283" s="32"/>
      <c r="AO283" s="57"/>
    </row>
    <row r="284" spans="14:41">
      <c r="N284" s="30"/>
      <c r="U284" s="31"/>
      <c r="AC284" s="31"/>
      <c r="AN284" s="32"/>
      <c r="AO284" s="57"/>
    </row>
    <row r="285" spans="14:41">
      <c r="N285" s="30"/>
      <c r="U285" s="31"/>
      <c r="AC285" s="31"/>
      <c r="AN285" s="32"/>
      <c r="AO285" s="57"/>
    </row>
    <row r="286" spans="14:41">
      <c r="N286" s="30"/>
      <c r="U286" s="31"/>
      <c r="AC286" s="31"/>
      <c r="AN286" s="32"/>
      <c r="AO286" s="57"/>
    </row>
    <row r="287" spans="14:41">
      <c r="N287" s="30"/>
      <c r="U287" s="31"/>
      <c r="AC287" s="31"/>
      <c r="AN287" s="32"/>
      <c r="AO287" s="57"/>
    </row>
    <row r="288" spans="14:41">
      <c r="N288" s="30"/>
      <c r="U288" s="31"/>
      <c r="AC288" s="31"/>
      <c r="AN288" s="32"/>
      <c r="AO288" s="57"/>
    </row>
    <row r="289" spans="14:41">
      <c r="N289" s="30"/>
      <c r="U289" s="31"/>
      <c r="AC289" s="31"/>
      <c r="AN289" s="32"/>
      <c r="AO289" s="57"/>
    </row>
    <row r="290" spans="14:41">
      <c r="N290" s="30"/>
      <c r="U290" s="31"/>
      <c r="AC290" s="31"/>
      <c r="AN290" s="32"/>
      <c r="AO290" s="57"/>
    </row>
    <row r="291" spans="14:41">
      <c r="N291" s="30"/>
      <c r="U291" s="31"/>
      <c r="AC291" s="31"/>
      <c r="AN291" s="32"/>
      <c r="AO291" s="57"/>
    </row>
    <row r="292" spans="14:41">
      <c r="N292" s="30"/>
      <c r="U292" s="31"/>
      <c r="AC292" s="31"/>
      <c r="AN292" s="32"/>
      <c r="AO292" s="57"/>
    </row>
    <row r="293" spans="14:41">
      <c r="N293" s="30"/>
      <c r="U293" s="31"/>
      <c r="AC293" s="31"/>
      <c r="AN293" s="32"/>
      <c r="AO293" s="57"/>
    </row>
    <row r="294" spans="14:41">
      <c r="N294" s="30"/>
      <c r="U294" s="31"/>
      <c r="AC294" s="31"/>
      <c r="AN294" s="32"/>
      <c r="AO294" s="57"/>
    </row>
    <row r="295" spans="14:41">
      <c r="N295" s="30"/>
      <c r="U295" s="31"/>
      <c r="AC295" s="31"/>
      <c r="AN295" s="32"/>
      <c r="AO295" s="57"/>
    </row>
    <row r="296" spans="14:41">
      <c r="N296" s="30"/>
      <c r="U296" s="31"/>
      <c r="AC296" s="31"/>
      <c r="AN296" s="32"/>
      <c r="AO296" s="57"/>
    </row>
    <row r="297" spans="14:41">
      <c r="N297" s="30"/>
      <c r="U297" s="31"/>
      <c r="AC297" s="31"/>
      <c r="AN297" s="32"/>
      <c r="AO297" s="57"/>
    </row>
    <row r="298" spans="14:41">
      <c r="N298" s="30"/>
      <c r="U298" s="31"/>
      <c r="AC298" s="31"/>
      <c r="AN298" s="32"/>
      <c r="AO298" s="57"/>
    </row>
    <row r="299" spans="14:41">
      <c r="N299" s="30"/>
      <c r="U299" s="31"/>
      <c r="AC299" s="31"/>
      <c r="AN299" s="32"/>
      <c r="AO299" s="57"/>
    </row>
    <row r="300" spans="14:41">
      <c r="N300" s="30"/>
      <c r="U300" s="31"/>
      <c r="AC300" s="31"/>
      <c r="AN300" s="32"/>
      <c r="AO300" s="57"/>
    </row>
    <row r="301" spans="14:41">
      <c r="N301" s="30"/>
      <c r="U301" s="31"/>
      <c r="AC301" s="31"/>
      <c r="AN301" s="32"/>
      <c r="AO301" s="57"/>
    </row>
    <row r="302" spans="14:41">
      <c r="N302" s="30"/>
      <c r="U302" s="31"/>
      <c r="AC302" s="31"/>
      <c r="AN302" s="32"/>
      <c r="AO302" s="57"/>
    </row>
    <row r="303" spans="14:41">
      <c r="N303" s="30"/>
      <c r="U303" s="31"/>
      <c r="AC303" s="31"/>
      <c r="AN303" s="32"/>
      <c r="AO303" s="57"/>
    </row>
    <row r="304" spans="14:41">
      <c r="N304" s="30"/>
      <c r="U304" s="31"/>
      <c r="AC304" s="31"/>
      <c r="AN304" s="32"/>
      <c r="AO304" s="57"/>
    </row>
    <row r="305" spans="14:41">
      <c r="N305" s="30"/>
      <c r="U305" s="31"/>
      <c r="AC305" s="31"/>
      <c r="AN305" s="32"/>
      <c r="AO305" s="57"/>
    </row>
    <row r="306" spans="14:41">
      <c r="N306" s="30"/>
      <c r="U306" s="31"/>
      <c r="AC306" s="31"/>
      <c r="AN306" s="32"/>
      <c r="AO306" s="57"/>
    </row>
    <row r="307" spans="14:41">
      <c r="N307" s="30"/>
      <c r="U307" s="31"/>
      <c r="AC307" s="31"/>
      <c r="AN307" s="32"/>
      <c r="AO307" s="57"/>
    </row>
    <row r="308" spans="14:41">
      <c r="N308" s="30"/>
      <c r="U308" s="31"/>
      <c r="AC308" s="31"/>
      <c r="AN308" s="32"/>
      <c r="AO308" s="57"/>
    </row>
    <row r="309" spans="14:41">
      <c r="N309" s="30"/>
      <c r="U309" s="31"/>
      <c r="AC309" s="31"/>
      <c r="AN309" s="32"/>
      <c r="AO309" s="57"/>
    </row>
    <row r="310" spans="14:41">
      <c r="N310" s="30"/>
      <c r="U310" s="31"/>
      <c r="AC310" s="31"/>
      <c r="AN310" s="32"/>
      <c r="AO310" s="57"/>
    </row>
    <row r="311" spans="14:41">
      <c r="N311" s="30"/>
      <c r="U311" s="31"/>
      <c r="AC311" s="31"/>
      <c r="AN311" s="32"/>
      <c r="AO311" s="57"/>
    </row>
    <row r="312" spans="14:41">
      <c r="N312" s="30"/>
      <c r="U312" s="31"/>
      <c r="AC312" s="31"/>
      <c r="AN312" s="32"/>
      <c r="AO312" s="57"/>
    </row>
    <row r="313" spans="14:41">
      <c r="N313" s="30"/>
      <c r="U313" s="31"/>
      <c r="AC313" s="31"/>
      <c r="AN313" s="32"/>
      <c r="AO313" s="57"/>
    </row>
    <row r="314" spans="14:41">
      <c r="N314" s="30"/>
      <c r="U314" s="31"/>
      <c r="AC314" s="31"/>
      <c r="AN314" s="32"/>
      <c r="AO314" s="57"/>
    </row>
    <row r="315" spans="14:41">
      <c r="N315" s="30"/>
      <c r="U315" s="31"/>
      <c r="AC315" s="31"/>
      <c r="AN315" s="32"/>
      <c r="AO315" s="57"/>
    </row>
    <row r="316" spans="14:41">
      <c r="N316" s="30"/>
      <c r="U316" s="31"/>
      <c r="AC316" s="31"/>
      <c r="AN316" s="32"/>
      <c r="AO316" s="57"/>
    </row>
    <row r="317" spans="14:41">
      <c r="N317" s="30"/>
      <c r="U317" s="31"/>
      <c r="AC317" s="31"/>
      <c r="AN317" s="32"/>
      <c r="AO317" s="57"/>
    </row>
    <row r="318" spans="14:41">
      <c r="N318" s="30"/>
      <c r="U318" s="31"/>
      <c r="AC318" s="31"/>
      <c r="AN318" s="32"/>
      <c r="AO318" s="57"/>
    </row>
    <row r="319" spans="14:41">
      <c r="N319" s="30"/>
      <c r="U319" s="31"/>
      <c r="AC319" s="31"/>
      <c r="AN319" s="32"/>
      <c r="AO319" s="57"/>
    </row>
    <row r="320" spans="14:41">
      <c r="N320" s="30"/>
      <c r="U320" s="31"/>
      <c r="AC320" s="31"/>
      <c r="AN320" s="32"/>
      <c r="AO320" s="57"/>
    </row>
    <row r="321" spans="14:41">
      <c r="N321" s="30"/>
      <c r="U321" s="31"/>
      <c r="AC321" s="31"/>
      <c r="AN321" s="32"/>
      <c r="AO321" s="57"/>
    </row>
    <row r="322" spans="14:41">
      <c r="N322" s="30"/>
      <c r="U322" s="31"/>
      <c r="AC322" s="31"/>
      <c r="AN322" s="32"/>
      <c r="AO322" s="57"/>
    </row>
    <row r="323" spans="14:41">
      <c r="N323" s="30"/>
      <c r="U323" s="31"/>
      <c r="AC323" s="31"/>
      <c r="AN323" s="32"/>
      <c r="AO323" s="57"/>
    </row>
    <row r="324" spans="14:41">
      <c r="N324" s="30"/>
      <c r="U324" s="31"/>
      <c r="AC324" s="31"/>
      <c r="AN324" s="32"/>
      <c r="AO324" s="57"/>
    </row>
    <row r="325" spans="14:41">
      <c r="N325" s="30"/>
      <c r="U325" s="31"/>
      <c r="AC325" s="31"/>
      <c r="AN325" s="32"/>
      <c r="AO325" s="57"/>
    </row>
    <row r="326" spans="14:41">
      <c r="N326" s="30"/>
      <c r="U326" s="31"/>
      <c r="AC326" s="31"/>
      <c r="AN326" s="32"/>
      <c r="AO326" s="57"/>
    </row>
    <row r="327" spans="14:41">
      <c r="N327" s="30"/>
      <c r="U327" s="31"/>
      <c r="AC327" s="31"/>
      <c r="AN327" s="32"/>
      <c r="AO327" s="57"/>
    </row>
    <row r="328" spans="14:41">
      <c r="N328" s="30"/>
      <c r="U328" s="31"/>
      <c r="AC328" s="31"/>
      <c r="AN328" s="32"/>
      <c r="AO328" s="57"/>
    </row>
    <row r="329" spans="14:41">
      <c r="N329" s="30"/>
      <c r="U329" s="31"/>
      <c r="AC329" s="31"/>
      <c r="AN329" s="32"/>
      <c r="AO329" s="57"/>
    </row>
    <row r="330" spans="14:41">
      <c r="N330" s="30"/>
      <c r="U330" s="31"/>
      <c r="AC330" s="31"/>
      <c r="AN330" s="32"/>
      <c r="AO330" s="57"/>
    </row>
    <row r="331" spans="14:41">
      <c r="N331" s="30"/>
      <c r="U331" s="31"/>
      <c r="AC331" s="31"/>
      <c r="AN331" s="32"/>
      <c r="AO331" s="57"/>
    </row>
    <row r="332" spans="14:41">
      <c r="N332" s="30"/>
      <c r="U332" s="31"/>
      <c r="AC332" s="31"/>
      <c r="AN332" s="32"/>
      <c r="AO332" s="57"/>
    </row>
    <row r="333" spans="14:41">
      <c r="N333" s="30"/>
      <c r="U333" s="31"/>
      <c r="AC333" s="31"/>
      <c r="AN333" s="32"/>
      <c r="AO333" s="57"/>
    </row>
    <row r="334" spans="14:41">
      <c r="N334" s="30"/>
      <c r="U334" s="31"/>
      <c r="AC334" s="31"/>
      <c r="AN334" s="32"/>
      <c r="AO334" s="57"/>
    </row>
    <row r="335" spans="14:41">
      <c r="N335" s="30"/>
      <c r="U335" s="31"/>
      <c r="AC335" s="31"/>
      <c r="AN335" s="32"/>
      <c r="AO335" s="57"/>
    </row>
    <row r="336" spans="14:41">
      <c r="N336" s="30"/>
      <c r="U336" s="31"/>
      <c r="AC336" s="31"/>
      <c r="AN336" s="32"/>
      <c r="AO336" s="57"/>
    </row>
    <row r="337" spans="14:41">
      <c r="N337" s="30"/>
      <c r="U337" s="31"/>
      <c r="AC337" s="31"/>
      <c r="AN337" s="32"/>
      <c r="AO337" s="57"/>
    </row>
    <row r="338" spans="14:41">
      <c r="N338" s="30"/>
      <c r="U338" s="31"/>
      <c r="AC338" s="31"/>
      <c r="AN338" s="32"/>
      <c r="AO338" s="57"/>
    </row>
    <row r="339" spans="14:41">
      <c r="N339" s="30"/>
      <c r="U339" s="31"/>
      <c r="AC339" s="31"/>
      <c r="AN339" s="32"/>
      <c r="AO339" s="57"/>
    </row>
    <row r="340" spans="14:41">
      <c r="N340" s="30"/>
      <c r="U340" s="31"/>
      <c r="AC340" s="31"/>
      <c r="AN340" s="32"/>
      <c r="AO340" s="57"/>
    </row>
    <row r="341" spans="14:41">
      <c r="N341" s="30"/>
      <c r="U341" s="31"/>
      <c r="AC341" s="31"/>
      <c r="AN341" s="32"/>
      <c r="AO341" s="57"/>
    </row>
    <row r="342" spans="14:41">
      <c r="N342" s="30"/>
      <c r="U342" s="31"/>
      <c r="AC342" s="31"/>
      <c r="AN342" s="32"/>
      <c r="AO342" s="57"/>
    </row>
    <row r="343" spans="14:41">
      <c r="N343" s="30"/>
      <c r="U343" s="31"/>
      <c r="AC343" s="31"/>
      <c r="AN343" s="32"/>
      <c r="AO343" s="57"/>
    </row>
    <row r="344" spans="14:41">
      <c r="N344" s="30"/>
      <c r="U344" s="31"/>
      <c r="AC344" s="31"/>
      <c r="AN344" s="32"/>
      <c r="AO344" s="57"/>
    </row>
    <row r="345" spans="14:41">
      <c r="N345" s="30"/>
      <c r="U345" s="31"/>
      <c r="AC345" s="31"/>
      <c r="AN345" s="32"/>
      <c r="AO345" s="57"/>
    </row>
    <row r="346" spans="14:41">
      <c r="N346" s="30"/>
      <c r="U346" s="31"/>
      <c r="AC346" s="31"/>
      <c r="AN346" s="32"/>
      <c r="AO346" s="57"/>
    </row>
    <row r="347" spans="14:41">
      <c r="N347" s="30"/>
      <c r="U347" s="31"/>
      <c r="AC347" s="31"/>
      <c r="AN347" s="32"/>
      <c r="AO347" s="57"/>
    </row>
    <row r="348" spans="14:41">
      <c r="N348" s="30"/>
      <c r="U348" s="31"/>
      <c r="AC348" s="31"/>
      <c r="AN348" s="32"/>
      <c r="AO348" s="57"/>
    </row>
    <row r="349" spans="14:41">
      <c r="N349" s="30"/>
      <c r="U349" s="31"/>
      <c r="AC349" s="31"/>
      <c r="AN349" s="32"/>
      <c r="AO349" s="57"/>
    </row>
    <row r="350" spans="14:41">
      <c r="N350" s="30"/>
      <c r="U350" s="31"/>
      <c r="AC350" s="31"/>
      <c r="AN350" s="32"/>
      <c r="AO350" s="57"/>
    </row>
    <row r="351" spans="14:41">
      <c r="N351" s="30"/>
      <c r="U351" s="31"/>
      <c r="AC351" s="31"/>
      <c r="AN351" s="32"/>
      <c r="AO351" s="57"/>
    </row>
    <row r="352" spans="14:41">
      <c r="N352" s="30"/>
      <c r="U352" s="31"/>
      <c r="AC352" s="31"/>
      <c r="AN352" s="32"/>
      <c r="AO352" s="57"/>
    </row>
    <row r="353" spans="14:41">
      <c r="N353" s="30"/>
      <c r="U353" s="31"/>
      <c r="AC353" s="31"/>
      <c r="AN353" s="32"/>
      <c r="AO353" s="57"/>
    </row>
    <row r="354" spans="14:41">
      <c r="N354" s="30"/>
      <c r="U354" s="31"/>
      <c r="AC354" s="31"/>
      <c r="AN354" s="32"/>
      <c r="AO354" s="57"/>
    </row>
    <row r="355" spans="14:41">
      <c r="N355" s="30"/>
      <c r="U355" s="31"/>
      <c r="AC355" s="31"/>
      <c r="AN355" s="32"/>
      <c r="AO355" s="57"/>
    </row>
    <row r="356" spans="14:41">
      <c r="N356" s="30"/>
      <c r="U356" s="31"/>
      <c r="AC356" s="31"/>
      <c r="AN356" s="32"/>
      <c r="AO356" s="57"/>
    </row>
    <row r="357" spans="14:41">
      <c r="N357" s="30"/>
      <c r="U357" s="31"/>
      <c r="AC357" s="31"/>
      <c r="AN357" s="32"/>
      <c r="AO357" s="57"/>
    </row>
    <row r="358" spans="14:41">
      <c r="N358" s="30"/>
      <c r="U358" s="31"/>
      <c r="AC358" s="31"/>
      <c r="AN358" s="32"/>
      <c r="AO358" s="57"/>
    </row>
    <row r="359" spans="14:41">
      <c r="N359" s="30"/>
      <c r="U359" s="31"/>
      <c r="AC359" s="31"/>
      <c r="AN359" s="32"/>
      <c r="AO359" s="57"/>
    </row>
    <row r="360" spans="14:41">
      <c r="N360" s="30"/>
      <c r="U360" s="31"/>
      <c r="AC360" s="31"/>
      <c r="AN360" s="32"/>
      <c r="AO360" s="57"/>
    </row>
    <row r="361" spans="14:41">
      <c r="N361" s="30"/>
      <c r="U361" s="31"/>
      <c r="AC361" s="31"/>
      <c r="AN361" s="32"/>
      <c r="AO361" s="57"/>
    </row>
    <row r="362" spans="14:41">
      <c r="N362" s="30"/>
      <c r="U362" s="31"/>
      <c r="AC362" s="31"/>
      <c r="AN362" s="32"/>
      <c r="AO362" s="57"/>
    </row>
    <row r="363" spans="14:41">
      <c r="N363" s="30"/>
      <c r="U363" s="31"/>
      <c r="AC363" s="31"/>
      <c r="AN363" s="32"/>
      <c r="AO363" s="57"/>
    </row>
    <row r="364" spans="14:41">
      <c r="N364" s="30"/>
      <c r="U364" s="31"/>
      <c r="AC364" s="31"/>
      <c r="AN364" s="32"/>
      <c r="AO364" s="57"/>
    </row>
    <row r="365" spans="14:41">
      <c r="N365" s="30"/>
      <c r="U365" s="31"/>
      <c r="AC365" s="31"/>
      <c r="AN365" s="32"/>
      <c r="AO365" s="57"/>
    </row>
    <row r="366" spans="14:41">
      <c r="N366" s="30"/>
      <c r="U366" s="31"/>
      <c r="AC366" s="31"/>
      <c r="AN366" s="32"/>
      <c r="AO366" s="57"/>
    </row>
    <row r="367" spans="14:41">
      <c r="N367" s="30"/>
      <c r="U367" s="31"/>
      <c r="AC367" s="31"/>
      <c r="AN367" s="32"/>
      <c r="AO367" s="57"/>
    </row>
    <row r="368" spans="14:41">
      <c r="N368" s="30"/>
      <c r="U368" s="31"/>
      <c r="AC368" s="31"/>
      <c r="AN368" s="32"/>
      <c r="AO368" s="57"/>
    </row>
    <row r="369" spans="14:41">
      <c r="N369" s="30"/>
      <c r="U369" s="31"/>
      <c r="AC369" s="31"/>
      <c r="AN369" s="32"/>
      <c r="AO369" s="57"/>
    </row>
    <row r="370" spans="14:41">
      <c r="N370" s="30"/>
      <c r="U370" s="31"/>
      <c r="AC370" s="31"/>
      <c r="AN370" s="32"/>
      <c r="AO370" s="57"/>
    </row>
    <row r="371" spans="14:41">
      <c r="N371" s="30"/>
      <c r="U371" s="31"/>
      <c r="AC371" s="31"/>
      <c r="AN371" s="32"/>
      <c r="AO371" s="57"/>
    </row>
    <row r="372" spans="14:41">
      <c r="N372" s="30"/>
      <c r="U372" s="31"/>
      <c r="AC372" s="31"/>
      <c r="AN372" s="32"/>
      <c r="AO372" s="57"/>
    </row>
    <row r="373" spans="14:41">
      <c r="N373" s="30"/>
      <c r="U373" s="31"/>
      <c r="AC373" s="31"/>
      <c r="AN373" s="32"/>
      <c r="AO373" s="57"/>
    </row>
    <row r="374" spans="14:41">
      <c r="N374" s="30"/>
      <c r="U374" s="31"/>
      <c r="AC374" s="31"/>
      <c r="AN374" s="32"/>
      <c r="AO374" s="57"/>
    </row>
    <row r="375" spans="14:41">
      <c r="N375" s="30"/>
      <c r="U375" s="31"/>
      <c r="AC375" s="31"/>
      <c r="AN375" s="32"/>
      <c r="AO375" s="57"/>
    </row>
    <row r="376" spans="14:41">
      <c r="N376" s="30"/>
      <c r="U376" s="31"/>
      <c r="AC376" s="31"/>
      <c r="AN376" s="32"/>
      <c r="AO376" s="57"/>
    </row>
    <row r="377" spans="14:41">
      <c r="N377" s="30"/>
      <c r="U377" s="31"/>
      <c r="AC377" s="31"/>
      <c r="AN377" s="32"/>
      <c r="AO377" s="57"/>
    </row>
    <row r="378" spans="14:41">
      <c r="N378" s="30"/>
      <c r="U378" s="31"/>
      <c r="AC378" s="31"/>
      <c r="AN378" s="32"/>
      <c r="AO378" s="57"/>
    </row>
    <row r="379" spans="14:41">
      <c r="N379" s="30"/>
      <c r="U379" s="31"/>
      <c r="AC379" s="31"/>
      <c r="AN379" s="32"/>
      <c r="AO379" s="57"/>
    </row>
    <row r="380" spans="14:41">
      <c r="N380" s="30"/>
      <c r="U380" s="31"/>
      <c r="AC380" s="31"/>
      <c r="AN380" s="32"/>
      <c r="AO380" s="57"/>
    </row>
    <row r="381" spans="14:41">
      <c r="N381" s="30"/>
      <c r="U381" s="31"/>
      <c r="AC381" s="31"/>
      <c r="AN381" s="32"/>
      <c r="AO381" s="57"/>
    </row>
    <row r="382" spans="14:41">
      <c r="N382" s="30"/>
      <c r="U382" s="31"/>
      <c r="AC382" s="31"/>
      <c r="AN382" s="32"/>
      <c r="AO382" s="57"/>
    </row>
    <row r="383" spans="14:41">
      <c r="N383" s="30"/>
      <c r="U383" s="31"/>
      <c r="AC383" s="31"/>
      <c r="AN383" s="32"/>
      <c r="AO383" s="57"/>
    </row>
    <row r="384" spans="14:41">
      <c r="N384" s="30"/>
      <c r="U384" s="31"/>
      <c r="AC384" s="31"/>
      <c r="AN384" s="32"/>
      <c r="AO384" s="57"/>
    </row>
    <row r="385" spans="14:41">
      <c r="N385" s="30"/>
      <c r="U385" s="31"/>
      <c r="AC385" s="31"/>
      <c r="AN385" s="32"/>
      <c r="AO385" s="57"/>
    </row>
    <row r="386" spans="14:41">
      <c r="N386" s="30"/>
      <c r="U386" s="31"/>
      <c r="AC386" s="31"/>
      <c r="AN386" s="32"/>
      <c r="AO386" s="57"/>
    </row>
    <row r="387" spans="14:41">
      <c r="N387" s="30"/>
      <c r="U387" s="31"/>
      <c r="AC387" s="31"/>
      <c r="AN387" s="32"/>
      <c r="AO387" s="57"/>
    </row>
    <row r="388" spans="14:41">
      <c r="N388" s="30"/>
      <c r="U388" s="31"/>
      <c r="AC388" s="31"/>
      <c r="AN388" s="32"/>
      <c r="AO388" s="57"/>
    </row>
    <row r="389" spans="14:41">
      <c r="N389" s="30"/>
      <c r="U389" s="31"/>
      <c r="AC389" s="31"/>
      <c r="AN389" s="32"/>
      <c r="AO389" s="57"/>
    </row>
    <row r="390" spans="14:41">
      <c r="N390" s="30"/>
      <c r="U390" s="31"/>
      <c r="AC390" s="31"/>
      <c r="AN390" s="32"/>
      <c r="AO390" s="57"/>
    </row>
    <row r="391" spans="14:41">
      <c r="N391" s="30"/>
      <c r="U391" s="31"/>
      <c r="AC391" s="31"/>
      <c r="AN391" s="32"/>
      <c r="AO391" s="57"/>
    </row>
    <row r="392" spans="14:41">
      <c r="N392" s="30"/>
      <c r="U392" s="31"/>
      <c r="AC392" s="31"/>
      <c r="AN392" s="32"/>
      <c r="AO392" s="57"/>
    </row>
    <row r="393" spans="14:41">
      <c r="N393" s="30"/>
      <c r="U393" s="31"/>
      <c r="AC393" s="31"/>
      <c r="AN393" s="32"/>
      <c r="AO393" s="57"/>
    </row>
    <row r="394" spans="14:41">
      <c r="N394" s="30"/>
      <c r="U394" s="31"/>
      <c r="AC394" s="31"/>
      <c r="AN394" s="32"/>
      <c r="AO394" s="57"/>
    </row>
    <row r="395" spans="14:41">
      <c r="N395" s="30"/>
      <c r="U395" s="31"/>
      <c r="AC395" s="31"/>
      <c r="AN395" s="32"/>
      <c r="AO395" s="57"/>
    </row>
    <row r="396" spans="14:41">
      <c r="N396" s="30"/>
      <c r="U396" s="31"/>
      <c r="AC396" s="31"/>
      <c r="AN396" s="32"/>
      <c r="AO396" s="57"/>
    </row>
    <row r="397" spans="14:41">
      <c r="N397" s="30"/>
      <c r="U397" s="31"/>
      <c r="AC397" s="31"/>
      <c r="AN397" s="32"/>
      <c r="AO397" s="57"/>
    </row>
    <row r="398" spans="14:41">
      <c r="N398" s="30"/>
      <c r="U398" s="31"/>
      <c r="AC398" s="31"/>
      <c r="AN398" s="32"/>
      <c r="AO398" s="57"/>
    </row>
    <row r="399" spans="14:41">
      <c r="N399" s="30"/>
      <c r="U399" s="31"/>
      <c r="AC399" s="31"/>
      <c r="AN399" s="32"/>
      <c r="AO399" s="57"/>
    </row>
    <row r="400" spans="14:41">
      <c r="N400" s="30"/>
      <c r="U400" s="31"/>
      <c r="AC400" s="31"/>
      <c r="AN400" s="32"/>
      <c r="AO400" s="57"/>
    </row>
    <row r="401" spans="14:41">
      <c r="N401" s="30"/>
      <c r="U401" s="31"/>
      <c r="AC401" s="31"/>
      <c r="AN401" s="32"/>
      <c r="AO401" s="57"/>
    </row>
    <row r="402" spans="14:41">
      <c r="N402" s="30"/>
      <c r="U402" s="31"/>
      <c r="AC402" s="31"/>
      <c r="AN402" s="32"/>
      <c r="AO402" s="57"/>
    </row>
    <row r="403" spans="14:41">
      <c r="N403" s="30"/>
      <c r="U403" s="31"/>
      <c r="AC403" s="31"/>
      <c r="AN403" s="32"/>
      <c r="AO403" s="57"/>
    </row>
    <row r="404" spans="14:41">
      <c r="N404" s="30"/>
      <c r="U404" s="31"/>
      <c r="AC404" s="31"/>
      <c r="AN404" s="32"/>
      <c r="AO404" s="57"/>
    </row>
    <row r="405" spans="14:41">
      <c r="N405" s="30"/>
      <c r="U405" s="31"/>
      <c r="AC405" s="31"/>
      <c r="AN405" s="32"/>
      <c r="AO405" s="57"/>
    </row>
    <row r="406" spans="14:41">
      <c r="N406" s="30"/>
      <c r="U406" s="31"/>
      <c r="AC406" s="31"/>
      <c r="AN406" s="32"/>
      <c r="AO406" s="57"/>
    </row>
    <row r="407" spans="14:41">
      <c r="N407" s="30"/>
      <c r="U407" s="31"/>
      <c r="AC407" s="31"/>
      <c r="AN407" s="32"/>
      <c r="AO407" s="57"/>
    </row>
    <row r="408" spans="14:41">
      <c r="N408" s="30"/>
      <c r="U408" s="31"/>
      <c r="AC408" s="31"/>
      <c r="AN408" s="32"/>
      <c r="AO408" s="57"/>
    </row>
    <row r="409" spans="14:41">
      <c r="N409" s="30"/>
      <c r="U409" s="31"/>
      <c r="AC409" s="31"/>
      <c r="AN409" s="32"/>
      <c r="AO409" s="57"/>
    </row>
    <row r="410" spans="14:41">
      <c r="N410" s="30"/>
      <c r="U410" s="31"/>
      <c r="AC410" s="31"/>
      <c r="AN410" s="32"/>
      <c r="AO410" s="57"/>
    </row>
    <row r="411" spans="14:41">
      <c r="N411" s="30"/>
      <c r="U411" s="31"/>
      <c r="AC411" s="31"/>
      <c r="AN411" s="32"/>
      <c r="AO411" s="57"/>
    </row>
    <row r="412" spans="14:41">
      <c r="N412" s="30"/>
      <c r="U412" s="31"/>
      <c r="AC412" s="31"/>
      <c r="AN412" s="32"/>
      <c r="AO412" s="57"/>
    </row>
    <row r="413" spans="14:41">
      <c r="N413" s="30"/>
      <c r="U413" s="31"/>
      <c r="AC413" s="31"/>
      <c r="AN413" s="32"/>
      <c r="AO413" s="57"/>
    </row>
    <row r="414" spans="14:41">
      <c r="N414" s="30"/>
      <c r="U414" s="31"/>
      <c r="AC414" s="31"/>
      <c r="AN414" s="32"/>
      <c r="AO414" s="57"/>
    </row>
    <row r="415" spans="14:41">
      <c r="N415" s="30"/>
      <c r="U415" s="31"/>
      <c r="AC415" s="31"/>
      <c r="AN415" s="32"/>
      <c r="AO415" s="57"/>
    </row>
    <row r="416" spans="14:41">
      <c r="N416" s="30"/>
      <c r="U416" s="31"/>
      <c r="AC416" s="31"/>
      <c r="AN416" s="32"/>
      <c r="AO416" s="57"/>
    </row>
    <row r="417" spans="14:41">
      <c r="N417" s="30"/>
      <c r="U417" s="31"/>
      <c r="AC417" s="31"/>
      <c r="AN417" s="32"/>
      <c r="AO417" s="57"/>
    </row>
    <row r="418" spans="14:41">
      <c r="N418" s="30"/>
      <c r="U418" s="31"/>
      <c r="AC418" s="31"/>
      <c r="AN418" s="32"/>
      <c r="AO418" s="57"/>
    </row>
    <row r="419" spans="14:41">
      <c r="N419" s="30"/>
      <c r="U419" s="31"/>
      <c r="AC419" s="31"/>
      <c r="AN419" s="32"/>
      <c r="AO419" s="57"/>
    </row>
    <row r="420" spans="14:41">
      <c r="N420" s="30"/>
      <c r="U420" s="31"/>
      <c r="AC420" s="31"/>
      <c r="AN420" s="32"/>
      <c r="AO420" s="57"/>
    </row>
    <row r="421" spans="14:41">
      <c r="N421" s="30"/>
      <c r="U421" s="31"/>
      <c r="AC421" s="31"/>
      <c r="AN421" s="32"/>
      <c r="AO421" s="57"/>
    </row>
    <row r="422" spans="14:41">
      <c r="N422" s="30"/>
      <c r="U422" s="31"/>
      <c r="AC422" s="31"/>
      <c r="AN422" s="32"/>
      <c r="AO422" s="57"/>
    </row>
    <row r="423" spans="14:41">
      <c r="N423" s="30"/>
      <c r="U423" s="31"/>
      <c r="AC423" s="31"/>
      <c r="AN423" s="32"/>
      <c r="AO423" s="57"/>
    </row>
    <row r="424" spans="14:41">
      <c r="N424" s="30"/>
      <c r="U424" s="31"/>
      <c r="AC424" s="31"/>
      <c r="AN424" s="32"/>
      <c r="AO424" s="57"/>
    </row>
    <row r="425" spans="14:41">
      <c r="N425" s="30"/>
      <c r="U425" s="31"/>
      <c r="AC425" s="31"/>
      <c r="AN425" s="32"/>
      <c r="AO425" s="57"/>
    </row>
    <row r="426" spans="14:41">
      <c r="N426" s="30"/>
      <c r="U426" s="31"/>
      <c r="AC426" s="31"/>
      <c r="AN426" s="32"/>
      <c r="AO426" s="57"/>
    </row>
    <row r="427" spans="14:41">
      <c r="N427" s="30"/>
      <c r="U427" s="31"/>
      <c r="AC427" s="31"/>
      <c r="AN427" s="32"/>
      <c r="AO427" s="57"/>
    </row>
    <row r="428" spans="14:41">
      <c r="N428" s="30"/>
      <c r="U428" s="31"/>
      <c r="AC428" s="31"/>
      <c r="AN428" s="32"/>
      <c r="AO428" s="57"/>
    </row>
    <row r="429" spans="14:41">
      <c r="N429" s="30"/>
      <c r="U429" s="31"/>
      <c r="AC429" s="31"/>
      <c r="AN429" s="32"/>
      <c r="AO429" s="57"/>
    </row>
    <row r="430" spans="14:41">
      <c r="N430" s="30"/>
      <c r="U430" s="31"/>
      <c r="AC430" s="31"/>
      <c r="AN430" s="32"/>
      <c r="AO430" s="57"/>
    </row>
    <row r="431" spans="14:41">
      <c r="N431" s="30"/>
      <c r="U431" s="31"/>
      <c r="AC431" s="31"/>
      <c r="AN431" s="32"/>
      <c r="AO431" s="57"/>
    </row>
    <row r="432" spans="14:41">
      <c r="N432" s="30"/>
      <c r="U432" s="31"/>
      <c r="AC432" s="31"/>
      <c r="AN432" s="32"/>
      <c r="AO432" s="57"/>
    </row>
    <row r="433" spans="14:41">
      <c r="N433" s="30"/>
      <c r="U433" s="31"/>
      <c r="AC433" s="31"/>
      <c r="AN433" s="32"/>
      <c r="AO433" s="57"/>
    </row>
    <row r="434" spans="14:41">
      <c r="N434" s="30"/>
      <c r="U434" s="31"/>
      <c r="AC434" s="31"/>
      <c r="AN434" s="32"/>
      <c r="AO434" s="57"/>
    </row>
    <row r="435" spans="14:41">
      <c r="N435" s="30"/>
      <c r="U435" s="31"/>
      <c r="AC435" s="31"/>
      <c r="AN435" s="32"/>
      <c r="AO435" s="57"/>
    </row>
    <row r="436" spans="14:41">
      <c r="N436" s="30"/>
      <c r="U436" s="31"/>
      <c r="AC436" s="31"/>
      <c r="AN436" s="32"/>
      <c r="AO436" s="57"/>
    </row>
    <row r="437" spans="14:41">
      <c r="N437" s="30"/>
      <c r="U437" s="31"/>
      <c r="AC437" s="31"/>
      <c r="AN437" s="32"/>
      <c r="AO437" s="57"/>
    </row>
    <row r="438" spans="14:41">
      <c r="N438" s="30"/>
      <c r="U438" s="31"/>
      <c r="AC438" s="31"/>
      <c r="AN438" s="32"/>
      <c r="AO438" s="57"/>
    </row>
    <row r="439" spans="14:41">
      <c r="N439" s="30"/>
      <c r="U439" s="31"/>
      <c r="AC439" s="31"/>
      <c r="AN439" s="32"/>
      <c r="AO439" s="57"/>
    </row>
    <row r="440" spans="14:41">
      <c r="N440" s="30"/>
      <c r="U440" s="31"/>
      <c r="AC440" s="31"/>
      <c r="AN440" s="32"/>
      <c r="AO440" s="57"/>
    </row>
    <row r="441" spans="14:41">
      <c r="N441" s="30"/>
      <c r="U441" s="31"/>
      <c r="AC441" s="31"/>
      <c r="AN441" s="32"/>
      <c r="AO441" s="57"/>
    </row>
    <row r="442" spans="14:41">
      <c r="N442" s="30"/>
      <c r="U442" s="31"/>
      <c r="AC442" s="31"/>
      <c r="AN442" s="32"/>
      <c r="AO442" s="57"/>
    </row>
    <row r="443" spans="14:41">
      <c r="N443" s="30"/>
      <c r="U443" s="31"/>
      <c r="AC443" s="31"/>
      <c r="AN443" s="32"/>
      <c r="AO443" s="57"/>
    </row>
    <row r="444" spans="14:41">
      <c r="N444" s="30"/>
      <c r="U444" s="31"/>
      <c r="AC444" s="31"/>
      <c r="AN444" s="32"/>
      <c r="AO444" s="57"/>
    </row>
    <row r="445" spans="14:41">
      <c r="N445" s="30"/>
      <c r="U445" s="31"/>
      <c r="AC445" s="31"/>
      <c r="AN445" s="32"/>
      <c r="AO445" s="57"/>
    </row>
    <row r="446" spans="14:41">
      <c r="N446" s="30"/>
      <c r="U446" s="31"/>
      <c r="AC446" s="31"/>
      <c r="AN446" s="32"/>
      <c r="AO446" s="57"/>
    </row>
    <row r="447" spans="14:41">
      <c r="N447" s="30"/>
      <c r="U447" s="31"/>
      <c r="AC447" s="31"/>
      <c r="AN447" s="32"/>
      <c r="AO447" s="57"/>
    </row>
    <row r="448" spans="14:41">
      <c r="N448" s="30"/>
      <c r="U448" s="31"/>
      <c r="AC448" s="31"/>
      <c r="AN448" s="32"/>
      <c r="AO448" s="57"/>
    </row>
    <row r="449" spans="14:41">
      <c r="N449" s="30"/>
      <c r="U449" s="31"/>
      <c r="AC449" s="31"/>
      <c r="AN449" s="32"/>
      <c r="AO449" s="57"/>
    </row>
    <row r="450" spans="14:41">
      <c r="N450" s="30"/>
      <c r="U450" s="31"/>
      <c r="AC450" s="31"/>
      <c r="AN450" s="32"/>
      <c r="AO450" s="57"/>
    </row>
    <row r="451" spans="14:41">
      <c r="N451" s="30"/>
      <c r="U451" s="31"/>
      <c r="AC451" s="31"/>
      <c r="AN451" s="32"/>
      <c r="AO451" s="57"/>
    </row>
    <row r="452" spans="14:41">
      <c r="N452" s="30"/>
      <c r="U452" s="31"/>
      <c r="AC452" s="31"/>
      <c r="AN452" s="32"/>
      <c r="AO452" s="57"/>
    </row>
    <row r="453" spans="14:41">
      <c r="N453" s="30"/>
      <c r="U453" s="31"/>
      <c r="AC453" s="31"/>
      <c r="AN453" s="32"/>
      <c r="AO453" s="57"/>
    </row>
    <row r="454" spans="14:41">
      <c r="N454" s="30"/>
      <c r="U454" s="31"/>
      <c r="AC454" s="31"/>
      <c r="AN454" s="32"/>
      <c r="AO454" s="57"/>
    </row>
    <row r="455" spans="14:41">
      <c r="N455" s="30"/>
      <c r="U455" s="31"/>
      <c r="AC455" s="31"/>
      <c r="AN455" s="32"/>
      <c r="AO455" s="57"/>
    </row>
    <row r="456" spans="14:41">
      <c r="N456" s="30"/>
      <c r="U456" s="31"/>
      <c r="AC456" s="31"/>
      <c r="AN456" s="32"/>
      <c r="AO456" s="57"/>
    </row>
    <row r="457" spans="14:41">
      <c r="N457" s="30"/>
      <c r="U457" s="31"/>
      <c r="AC457" s="31"/>
      <c r="AN457" s="32"/>
      <c r="AO457" s="57"/>
    </row>
    <row r="458" spans="14:41">
      <c r="N458" s="30"/>
      <c r="U458" s="31"/>
      <c r="AC458" s="31"/>
      <c r="AN458" s="32"/>
      <c r="AO458" s="57"/>
    </row>
    <row r="459" spans="14:41">
      <c r="N459" s="30"/>
      <c r="U459" s="31"/>
      <c r="AC459" s="31"/>
      <c r="AN459" s="32"/>
      <c r="AO459" s="57"/>
    </row>
    <row r="460" spans="14:41">
      <c r="N460" s="30"/>
      <c r="U460" s="31"/>
      <c r="AC460" s="31"/>
      <c r="AN460" s="32"/>
      <c r="AO460" s="57"/>
    </row>
    <row r="461" spans="14:41">
      <c r="N461" s="30"/>
      <c r="U461" s="31"/>
      <c r="AC461" s="31"/>
      <c r="AN461" s="32"/>
      <c r="AO461" s="57"/>
    </row>
    <row r="462" spans="14:41">
      <c r="N462" s="30"/>
      <c r="U462" s="31"/>
      <c r="AC462" s="31"/>
      <c r="AN462" s="32"/>
      <c r="AO462" s="57"/>
    </row>
    <row r="463" spans="14:41">
      <c r="N463" s="30"/>
      <c r="U463" s="31"/>
      <c r="AC463" s="31"/>
      <c r="AN463" s="32"/>
      <c r="AO463" s="57"/>
    </row>
    <row r="464" spans="14:41">
      <c r="N464" s="30"/>
      <c r="U464" s="31"/>
      <c r="AC464" s="31"/>
      <c r="AN464" s="32"/>
      <c r="AO464" s="57"/>
    </row>
    <row r="465" spans="14:41">
      <c r="N465" s="30"/>
      <c r="U465" s="31"/>
      <c r="AC465" s="31"/>
      <c r="AN465" s="32"/>
      <c r="AO465" s="57"/>
    </row>
    <row r="466" spans="14:41">
      <c r="N466" s="30"/>
      <c r="U466" s="31"/>
      <c r="AC466" s="31"/>
      <c r="AN466" s="32"/>
      <c r="AO466" s="57"/>
    </row>
    <row r="467" spans="14:41">
      <c r="N467" s="30"/>
      <c r="U467" s="31"/>
      <c r="AC467" s="31"/>
      <c r="AN467" s="32"/>
      <c r="AO467" s="57"/>
    </row>
    <row r="468" spans="14:41">
      <c r="N468" s="30"/>
      <c r="U468" s="31"/>
      <c r="AC468" s="31"/>
      <c r="AN468" s="32"/>
      <c r="AO468" s="57"/>
    </row>
    <row r="469" spans="14:41">
      <c r="N469" s="30"/>
      <c r="U469" s="31"/>
      <c r="AC469" s="31"/>
      <c r="AN469" s="32"/>
      <c r="AO469" s="57"/>
    </row>
    <row r="470" spans="14:41">
      <c r="N470" s="30"/>
      <c r="U470" s="31"/>
      <c r="AC470" s="31"/>
      <c r="AN470" s="32"/>
      <c r="AO470" s="57"/>
    </row>
    <row r="471" spans="14:41">
      <c r="N471" s="30"/>
      <c r="U471" s="31"/>
      <c r="AC471" s="31"/>
      <c r="AN471" s="32"/>
      <c r="AO471" s="57"/>
    </row>
    <row r="472" spans="14:41">
      <c r="N472" s="30"/>
      <c r="U472" s="31"/>
      <c r="AC472" s="31"/>
      <c r="AN472" s="32"/>
      <c r="AO472" s="57"/>
    </row>
    <row r="473" spans="14:41">
      <c r="N473" s="30"/>
      <c r="U473" s="31"/>
      <c r="AC473" s="31"/>
      <c r="AN473" s="32"/>
      <c r="AO473" s="57"/>
    </row>
    <row r="474" spans="14:41">
      <c r="N474" s="30"/>
      <c r="U474" s="31"/>
      <c r="AC474" s="31"/>
      <c r="AN474" s="32"/>
      <c r="AO474" s="57"/>
    </row>
    <row r="475" spans="14:41">
      <c r="N475" s="30"/>
      <c r="U475" s="31"/>
      <c r="AC475" s="31"/>
      <c r="AN475" s="32"/>
      <c r="AO475" s="57"/>
    </row>
    <row r="476" spans="14:41">
      <c r="N476" s="30"/>
      <c r="U476" s="31"/>
      <c r="AC476" s="31"/>
      <c r="AN476" s="32"/>
      <c r="AO476" s="57"/>
    </row>
    <row r="477" spans="14:41">
      <c r="N477" s="30"/>
      <c r="U477" s="31"/>
      <c r="AC477" s="31"/>
      <c r="AN477" s="32"/>
      <c r="AO477" s="57"/>
    </row>
    <row r="478" spans="14:41">
      <c r="N478" s="30"/>
      <c r="U478" s="31"/>
      <c r="AC478" s="31"/>
      <c r="AN478" s="32"/>
      <c r="AO478" s="57"/>
    </row>
    <row r="479" spans="14:41">
      <c r="N479" s="30"/>
      <c r="U479" s="31"/>
      <c r="AC479" s="31"/>
      <c r="AN479" s="32"/>
      <c r="AO479" s="57"/>
    </row>
    <row r="480" spans="14:41">
      <c r="N480" s="30"/>
      <c r="U480" s="31"/>
      <c r="AC480" s="31"/>
      <c r="AN480" s="32"/>
      <c r="AO480" s="57"/>
    </row>
    <row r="481" spans="14:41">
      <c r="N481" s="30"/>
      <c r="U481" s="31"/>
      <c r="AC481" s="31"/>
      <c r="AN481" s="32"/>
      <c r="AO481" s="57"/>
    </row>
    <row r="482" spans="14:41">
      <c r="N482" s="30"/>
      <c r="U482" s="31"/>
      <c r="AC482" s="31"/>
      <c r="AN482" s="32"/>
      <c r="AO482" s="57"/>
    </row>
    <row r="483" spans="14:41">
      <c r="N483" s="30"/>
      <c r="U483" s="31"/>
      <c r="AC483" s="31"/>
      <c r="AN483" s="32"/>
      <c r="AO483" s="57"/>
    </row>
    <row r="484" spans="14:41">
      <c r="N484" s="30"/>
      <c r="U484" s="31"/>
      <c r="AC484" s="31"/>
      <c r="AN484" s="32"/>
      <c r="AO484" s="57"/>
    </row>
    <row r="485" spans="14:41">
      <c r="N485" s="30"/>
      <c r="U485" s="31"/>
      <c r="AC485" s="31"/>
      <c r="AN485" s="32"/>
      <c r="AO485" s="57"/>
    </row>
    <row r="486" spans="14:41">
      <c r="N486" s="30"/>
      <c r="U486" s="31"/>
      <c r="AC486" s="31"/>
      <c r="AN486" s="32"/>
      <c r="AO486" s="57"/>
    </row>
    <row r="487" spans="14:41">
      <c r="N487" s="30"/>
      <c r="U487" s="31"/>
      <c r="AC487" s="31"/>
      <c r="AN487" s="32"/>
      <c r="AO487" s="57"/>
    </row>
    <row r="488" spans="14:41">
      <c r="N488" s="30"/>
      <c r="U488" s="31"/>
      <c r="AC488" s="31"/>
      <c r="AN488" s="32"/>
      <c r="AO488" s="57"/>
    </row>
    <row r="489" spans="14:41">
      <c r="N489" s="30"/>
      <c r="U489" s="31"/>
      <c r="AC489" s="31"/>
      <c r="AN489" s="32"/>
      <c r="AO489" s="57"/>
    </row>
    <row r="490" spans="14:41">
      <c r="N490" s="30"/>
      <c r="U490" s="31"/>
      <c r="AC490" s="31"/>
      <c r="AN490" s="32"/>
      <c r="AO490" s="57"/>
    </row>
    <row r="491" spans="14:41">
      <c r="N491" s="30"/>
      <c r="U491" s="31"/>
      <c r="AC491" s="31"/>
      <c r="AN491" s="32"/>
      <c r="AO491" s="57"/>
    </row>
    <row r="492" spans="14:41">
      <c r="N492" s="30"/>
      <c r="U492" s="31"/>
      <c r="AC492" s="31"/>
      <c r="AN492" s="32"/>
      <c r="AO492" s="57"/>
    </row>
    <row r="493" spans="14:41">
      <c r="N493" s="30"/>
      <c r="U493" s="31"/>
      <c r="AC493" s="31"/>
      <c r="AN493" s="32"/>
      <c r="AO493" s="57"/>
    </row>
    <row r="494" spans="14:41">
      <c r="N494" s="30"/>
      <c r="U494" s="31"/>
      <c r="AC494" s="31"/>
      <c r="AN494" s="32"/>
      <c r="AO494" s="57"/>
    </row>
    <row r="495" spans="14:41">
      <c r="N495" s="30"/>
      <c r="U495" s="31"/>
      <c r="AC495" s="31"/>
      <c r="AN495" s="32"/>
      <c r="AO495" s="57"/>
    </row>
    <row r="496" spans="14:41">
      <c r="N496" s="30"/>
      <c r="U496" s="31"/>
      <c r="AC496" s="31"/>
      <c r="AN496" s="32"/>
      <c r="AO496" s="57"/>
    </row>
    <row r="497" spans="14:41">
      <c r="N497" s="30"/>
      <c r="U497" s="31"/>
      <c r="AC497" s="31"/>
      <c r="AN497" s="32"/>
      <c r="AO497" s="57"/>
    </row>
    <row r="498" spans="14:41">
      <c r="N498" s="30"/>
      <c r="U498" s="31"/>
      <c r="AC498" s="31"/>
      <c r="AN498" s="32"/>
      <c r="AO498" s="57"/>
    </row>
    <row r="499" spans="14:41">
      <c r="N499" s="30"/>
      <c r="U499" s="31"/>
      <c r="AC499" s="31"/>
      <c r="AN499" s="32"/>
      <c r="AO499" s="57"/>
    </row>
    <row r="500" spans="14:41">
      <c r="N500" s="30"/>
      <c r="U500" s="31"/>
      <c r="AC500" s="31"/>
      <c r="AN500" s="32"/>
      <c r="AO500" s="57"/>
    </row>
    <row r="501" spans="14:41">
      <c r="N501" s="30"/>
      <c r="U501" s="31"/>
      <c r="AC501" s="31"/>
      <c r="AN501" s="32"/>
      <c r="AO501" s="57"/>
    </row>
    <row r="502" spans="14:41">
      <c r="N502" s="30"/>
      <c r="U502" s="31"/>
      <c r="AC502" s="31"/>
      <c r="AN502" s="32"/>
      <c r="AO502" s="57"/>
    </row>
    <row r="503" spans="14:41">
      <c r="N503" s="30"/>
      <c r="U503" s="31"/>
      <c r="AC503" s="31"/>
      <c r="AN503" s="32"/>
      <c r="AO503" s="57"/>
    </row>
    <row r="504" spans="14:41">
      <c r="N504" s="30"/>
      <c r="U504" s="31"/>
      <c r="AC504" s="31"/>
      <c r="AN504" s="32"/>
      <c r="AO504" s="57"/>
    </row>
    <row r="505" spans="14:41">
      <c r="N505" s="30"/>
      <c r="U505" s="31"/>
      <c r="AC505" s="31"/>
      <c r="AN505" s="32"/>
      <c r="AO505" s="57"/>
    </row>
    <row r="506" spans="14:41">
      <c r="N506" s="30"/>
      <c r="U506" s="31"/>
      <c r="AC506" s="31"/>
      <c r="AN506" s="32"/>
      <c r="AO506" s="57"/>
    </row>
    <row r="507" spans="14:41">
      <c r="N507" s="30"/>
      <c r="U507" s="31"/>
      <c r="AC507" s="31"/>
      <c r="AN507" s="32"/>
      <c r="AO507" s="57"/>
    </row>
    <row r="508" spans="14:41">
      <c r="N508" s="30"/>
      <c r="U508" s="31"/>
      <c r="AC508" s="31"/>
      <c r="AN508" s="32"/>
      <c r="AO508" s="57"/>
    </row>
    <row r="509" spans="14:41">
      <c r="N509" s="30"/>
      <c r="U509" s="31"/>
      <c r="AC509" s="31"/>
      <c r="AN509" s="32"/>
      <c r="AO509" s="57"/>
    </row>
    <row r="510" spans="14:41">
      <c r="N510" s="30"/>
      <c r="U510" s="31"/>
      <c r="AC510" s="31"/>
      <c r="AN510" s="32"/>
      <c r="AO510" s="57"/>
    </row>
    <row r="511" spans="14:41">
      <c r="N511" s="30"/>
      <c r="U511" s="31"/>
      <c r="AC511" s="31"/>
      <c r="AN511" s="32"/>
      <c r="AO511" s="57"/>
    </row>
    <row r="512" spans="14:41">
      <c r="N512" s="30"/>
      <c r="U512" s="31"/>
      <c r="AC512" s="31"/>
      <c r="AN512" s="32"/>
      <c r="AO512" s="57"/>
    </row>
    <row r="513" spans="14:41">
      <c r="N513" s="30"/>
      <c r="U513" s="31"/>
      <c r="AC513" s="31"/>
      <c r="AN513" s="32"/>
      <c r="AO513" s="57"/>
    </row>
    <row r="514" spans="14:41">
      <c r="N514" s="30"/>
      <c r="U514" s="31"/>
      <c r="AC514" s="31"/>
      <c r="AN514" s="32"/>
      <c r="AO514" s="57"/>
    </row>
    <row r="515" spans="14:41">
      <c r="N515" s="30"/>
      <c r="U515" s="31"/>
      <c r="AC515" s="31"/>
      <c r="AN515" s="32"/>
      <c r="AO515" s="57"/>
    </row>
    <row r="516" spans="14:41">
      <c r="N516" s="30"/>
      <c r="U516" s="31"/>
      <c r="AC516" s="31"/>
      <c r="AN516" s="32"/>
      <c r="AO516" s="57"/>
    </row>
    <row r="517" spans="14:41">
      <c r="N517" s="30"/>
      <c r="U517" s="31"/>
      <c r="AC517" s="31"/>
      <c r="AN517" s="32"/>
      <c r="AO517" s="57"/>
    </row>
    <row r="518" spans="14:41">
      <c r="N518" s="30"/>
      <c r="U518" s="31"/>
      <c r="AC518" s="31"/>
      <c r="AN518" s="32"/>
      <c r="AO518" s="57"/>
    </row>
    <row r="519" spans="14:41">
      <c r="N519" s="30"/>
      <c r="U519" s="31"/>
      <c r="AC519" s="31"/>
      <c r="AN519" s="32"/>
      <c r="AO519" s="57"/>
    </row>
    <row r="520" spans="14:41">
      <c r="N520" s="30"/>
      <c r="U520" s="31"/>
      <c r="AC520" s="31"/>
      <c r="AN520" s="32"/>
      <c r="AO520" s="57"/>
    </row>
    <row r="521" spans="14:41">
      <c r="N521" s="30"/>
      <c r="U521" s="31"/>
      <c r="AC521" s="31"/>
      <c r="AN521" s="32"/>
      <c r="AO521" s="57"/>
    </row>
    <row r="522" spans="14:41">
      <c r="N522" s="30"/>
      <c r="U522" s="31"/>
      <c r="AC522" s="31"/>
      <c r="AN522" s="32"/>
      <c r="AO522" s="57"/>
    </row>
    <row r="523" spans="14:41">
      <c r="N523" s="30"/>
      <c r="U523" s="31"/>
      <c r="AC523" s="31"/>
      <c r="AN523" s="32"/>
      <c r="AO523" s="57"/>
    </row>
    <row r="524" spans="14:41">
      <c r="N524" s="30"/>
      <c r="U524" s="31"/>
      <c r="AC524" s="31"/>
      <c r="AN524" s="32"/>
      <c r="AO524" s="57"/>
    </row>
    <row r="525" spans="14:41">
      <c r="N525" s="30"/>
      <c r="U525" s="31"/>
      <c r="AC525" s="31"/>
      <c r="AN525" s="32"/>
      <c r="AO525" s="57"/>
    </row>
    <row r="526" spans="14:41">
      <c r="N526" s="30"/>
      <c r="U526" s="31"/>
      <c r="AC526" s="31"/>
      <c r="AN526" s="32"/>
      <c r="AO526" s="57"/>
    </row>
    <row r="527" spans="14:41">
      <c r="N527" s="30"/>
      <c r="U527" s="31"/>
      <c r="AC527" s="31"/>
      <c r="AN527" s="32"/>
      <c r="AO527" s="57"/>
    </row>
    <row r="528" spans="14:41">
      <c r="N528" s="30"/>
      <c r="U528" s="31"/>
      <c r="AC528" s="31"/>
      <c r="AN528" s="32"/>
      <c r="AO528" s="57"/>
    </row>
    <row r="529" spans="14:41">
      <c r="N529" s="30"/>
      <c r="U529" s="31"/>
      <c r="AC529" s="31"/>
      <c r="AN529" s="32"/>
      <c r="AO529" s="57"/>
    </row>
    <row r="530" spans="14:41">
      <c r="N530" s="30"/>
      <c r="U530" s="31"/>
      <c r="AC530" s="31"/>
      <c r="AN530" s="32"/>
      <c r="AO530" s="57"/>
    </row>
    <row r="531" spans="14:41">
      <c r="N531" s="30"/>
      <c r="U531" s="31"/>
      <c r="AC531" s="31"/>
      <c r="AN531" s="32"/>
      <c r="AO531" s="57"/>
    </row>
    <row r="532" spans="14:41">
      <c r="N532" s="30"/>
      <c r="U532" s="31"/>
      <c r="AC532" s="31"/>
      <c r="AN532" s="32"/>
      <c r="AO532" s="57"/>
    </row>
    <row r="533" spans="14:41">
      <c r="N533" s="30"/>
      <c r="U533" s="31"/>
      <c r="AC533" s="31"/>
      <c r="AN533" s="32"/>
      <c r="AO533" s="57"/>
    </row>
    <row r="534" spans="14:41">
      <c r="N534" s="30"/>
      <c r="U534" s="31"/>
      <c r="AC534" s="31"/>
      <c r="AN534" s="32"/>
      <c r="AO534" s="57"/>
    </row>
    <row r="535" spans="14:41">
      <c r="N535" s="30"/>
      <c r="U535" s="31"/>
      <c r="AC535" s="31"/>
      <c r="AN535" s="32"/>
      <c r="AO535" s="57"/>
    </row>
    <row r="536" spans="14:41">
      <c r="N536" s="30"/>
      <c r="U536" s="31"/>
      <c r="AC536" s="31"/>
      <c r="AN536" s="32"/>
      <c r="AO536" s="57"/>
    </row>
    <row r="537" spans="14:41">
      <c r="N537" s="30"/>
      <c r="U537" s="31"/>
      <c r="AC537" s="31"/>
      <c r="AN537" s="32"/>
      <c r="AO537" s="57"/>
    </row>
    <row r="538" spans="14:41">
      <c r="N538" s="30"/>
      <c r="U538" s="31"/>
      <c r="AC538" s="31"/>
      <c r="AN538" s="32"/>
      <c r="AO538" s="57"/>
    </row>
    <row r="539" spans="14:41">
      <c r="N539" s="30"/>
      <c r="U539" s="31"/>
      <c r="AC539" s="31"/>
      <c r="AN539" s="32"/>
      <c r="AO539" s="57"/>
    </row>
    <row r="540" spans="14:41">
      <c r="N540" s="30"/>
      <c r="U540" s="31"/>
      <c r="AC540" s="31"/>
      <c r="AN540" s="32"/>
      <c r="AO540" s="57"/>
    </row>
    <row r="541" spans="14:41">
      <c r="N541" s="30"/>
      <c r="U541" s="31"/>
      <c r="AC541" s="31"/>
      <c r="AN541" s="32"/>
      <c r="AO541" s="57"/>
    </row>
    <row r="542" spans="14:41">
      <c r="N542" s="30"/>
      <c r="U542" s="31"/>
      <c r="AC542" s="31"/>
      <c r="AN542" s="32"/>
      <c r="AO542" s="57"/>
    </row>
    <row r="543" spans="14:41">
      <c r="N543" s="30"/>
      <c r="U543" s="31"/>
      <c r="AC543" s="31"/>
      <c r="AN543" s="32"/>
      <c r="AO543" s="57"/>
    </row>
    <row r="544" spans="14:41">
      <c r="N544" s="30"/>
      <c r="U544" s="31"/>
      <c r="AC544" s="31"/>
      <c r="AN544" s="32"/>
      <c r="AO544" s="57"/>
    </row>
    <row r="545" spans="14:41">
      <c r="N545" s="30"/>
      <c r="U545" s="31"/>
      <c r="AC545" s="31"/>
      <c r="AN545" s="32"/>
      <c r="AO545" s="57"/>
    </row>
    <row r="546" spans="14:41">
      <c r="N546" s="30"/>
      <c r="U546" s="31"/>
      <c r="AC546" s="31"/>
      <c r="AN546" s="32"/>
      <c r="AO546" s="57"/>
    </row>
    <row r="547" spans="14:41">
      <c r="N547" s="30"/>
      <c r="U547" s="31"/>
      <c r="AC547" s="31"/>
      <c r="AN547" s="32"/>
      <c r="AO547" s="57"/>
    </row>
    <row r="548" spans="14:41">
      <c r="N548" s="30"/>
      <c r="U548" s="31"/>
      <c r="AC548" s="31"/>
      <c r="AN548" s="32"/>
      <c r="AO548" s="57"/>
    </row>
    <row r="549" spans="14:41">
      <c r="N549" s="30"/>
      <c r="U549" s="31"/>
      <c r="AC549" s="31"/>
      <c r="AN549" s="32"/>
      <c r="AO549" s="57"/>
    </row>
    <row r="550" spans="14:41">
      <c r="N550" s="30"/>
      <c r="U550" s="31"/>
      <c r="AC550" s="31"/>
      <c r="AN550" s="32"/>
      <c r="AO550" s="57"/>
    </row>
    <row r="551" spans="14:41">
      <c r="N551" s="30"/>
      <c r="U551" s="31"/>
      <c r="AC551" s="31"/>
      <c r="AN551" s="32"/>
      <c r="AO551" s="57"/>
    </row>
    <row r="552" spans="14:41">
      <c r="N552" s="30"/>
      <c r="U552" s="31"/>
      <c r="AC552" s="31"/>
      <c r="AN552" s="32"/>
      <c r="AO552" s="57"/>
    </row>
    <row r="553" spans="14:41">
      <c r="N553" s="30"/>
      <c r="U553" s="31"/>
      <c r="AC553" s="31"/>
      <c r="AN553" s="32"/>
      <c r="AO553" s="57"/>
    </row>
    <row r="554" spans="14:41">
      <c r="N554" s="30"/>
      <c r="U554" s="31"/>
      <c r="AC554" s="31"/>
      <c r="AN554" s="32"/>
      <c r="AO554" s="57"/>
    </row>
    <row r="555" spans="14:41">
      <c r="N555" s="30"/>
      <c r="U555" s="31"/>
      <c r="AC555" s="31"/>
      <c r="AN555" s="32"/>
      <c r="AO555" s="57"/>
    </row>
    <row r="556" spans="14:41">
      <c r="N556" s="30"/>
      <c r="U556" s="31"/>
      <c r="AC556" s="31"/>
      <c r="AN556" s="32"/>
      <c r="AO556" s="57"/>
    </row>
    <row r="557" spans="14:41">
      <c r="N557" s="30"/>
      <c r="U557" s="31"/>
      <c r="AC557" s="31"/>
      <c r="AN557" s="32"/>
      <c r="AO557" s="57"/>
    </row>
    <row r="558" spans="14:41">
      <c r="N558" s="30"/>
      <c r="U558" s="31"/>
      <c r="AC558" s="31"/>
      <c r="AN558" s="32"/>
      <c r="AO558" s="57"/>
    </row>
    <row r="559" spans="14:41">
      <c r="N559" s="30"/>
      <c r="U559" s="31"/>
      <c r="AC559" s="31"/>
      <c r="AN559" s="32"/>
      <c r="AO559" s="57"/>
    </row>
    <row r="560" spans="14:41">
      <c r="N560" s="30"/>
      <c r="U560" s="31"/>
      <c r="AC560" s="31"/>
      <c r="AN560" s="32"/>
      <c r="AO560" s="57"/>
    </row>
    <row r="561" spans="14:41">
      <c r="N561" s="30"/>
      <c r="U561" s="31"/>
      <c r="AC561" s="31"/>
      <c r="AN561" s="32"/>
      <c r="AO561" s="57"/>
    </row>
    <row r="562" spans="14:41">
      <c r="N562" s="30"/>
      <c r="U562" s="31"/>
      <c r="AC562" s="31"/>
      <c r="AN562" s="32"/>
      <c r="AO562" s="57"/>
    </row>
    <row r="563" spans="14:41">
      <c r="N563" s="30"/>
      <c r="U563" s="31"/>
      <c r="AC563" s="31"/>
      <c r="AN563" s="32"/>
      <c r="AO563" s="57"/>
    </row>
    <row r="564" spans="14:41">
      <c r="N564" s="30"/>
      <c r="U564" s="31"/>
      <c r="AC564" s="31"/>
      <c r="AN564" s="32"/>
      <c r="AO564" s="57"/>
    </row>
    <row r="565" spans="14:41">
      <c r="N565" s="30"/>
      <c r="U565" s="31"/>
      <c r="AC565" s="31"/>
      <c r="AN565" s="32"/>
      <c r="AO565" s="57"/>
    </row>
    <row r="566" spans="14:41">
      <c r="N566" s="30"/>
      <c r="U566" s="31"/>
      <c r="AC566" s="31"/>
      <c r="AN566" s="32"/>
      <c r="AO566" s="57"/>
    </row>
    <row r="567" spans="14:41">
      <c r="N567" s="30"/>
      <c r="U567" s="31"/>
      <c r="AC567" s="31"/>
      <c r="AN567" s="32"/>
      <c r="AO567" s="57"/>
    </row>
    <row r="568" spans="14:41">
      <c r="N568" s="30"/>
      <c r="U568" s="31"/>
      <c r="AC568" s="31"/>
      <c r="AN568" s="32"/>
      <c r="AO568" s="57"/>
    </row>
    <row r="569" spans="14:41">
      <c r="N569" s="30"/>
      <c r="U569" s="31"/>
      <c r="AC569" s="31"/>
      <c r="AN569" s="32"/>
      <c r="AO569" s="57"/>
    </row>
    <row r="570" spans="14:41">
      <c r="N570" s="30"/>
      <c r="U570" s="31"/>
      <c r="AC570" s="31"/>
      <c r="AN570" s="32"/>
      <c r="AO570" s="57"/>
    </row>
    <row r="571" spans="14:41">
      <c r="N571" s="30"/>
      <c r="U571" s="31"/>
      <c r="AC571" s="31"/>
      <c r="AN571" s="32"/>
      <c r="AO571" s="57"/>
    </row>
    <row r="572" spans="14:41">
      <c r="N572" s="30"/>
      <c r="U572" s="31"/>
      <c r="AC572" s="31"/>
      <c r="AN572" s="32"/>
      <c r="AO572" s="57"/>
    </row>
    <row r="573" spans="14:41">
      <c r="N573" s="30"/>
      <c r="U573" s="31"/>
      <c r="AC573" s="31"/>
      <c r="AN573" s="32"/>
      <c r="AO573" s="57"/>
    </row>
    <row r="574" spans="14:41">
      <c r="N574" s="30"/>
      <c r="U574" s="31"/>
      <c r="AC574" s="31"/>
      <c r="AN574" s="32"/>
      <c r="AO574" s="57"/>
    </row>
    <row r="575" spans="14:41">
      <c r="N575" s="30"/>
      <c r="U575" s="31"/>
      <c r="AC575" s="31"/>
      <c r="AN575" s="32"/>
      <c r="AO575" s="57"/>
    </row>
    <row r="576" spans="14:41">
      <c r="N576" s="30"/>
      <c r="U576" s="31"/>
      <c r="AC576" s="31"/>
      <c r="AN576" s="32"/>
      <c r="AO576" s="57"/>
    </row>
    <row r="577" spans="14:41">
      <c r="N577" s="30"/>
      <c r="U577" s="31"/>
      <c r="AC577" s="31"/>
      <c r="AN577" s="32"/>
      <c r="AO577" s="57"/>
    </row>
    <row r="578" spans="14:41">
      <c r="N578" s="30"/>
      <c r="U578" s="31"/>
      <c r="AC578" s="31"/>
      <c r="AN578" s="32"/>
      <c r="AO578" s="57"/>
    </row>
    <row r="579" spans="14:41">
      <c r="N579" s="30"/>
      <c r="U579" s="31"/>
      <c r="AC579" s="31"/>
      <c r="AN579" s="32"/>
      <c r="AO579" s="57"/>
    </row>
    <row r="580" spans="14:41">
      <c r="N580" s="30"/>
      <c r="U580" s="31"/>
      <c r="AC580" s="31"/>
      <c r="AN580" s="32"/>
      <c r="AO580" s="57"/>
    </row>
    <row r="581" spans="14:41">
      <c r="N581" s="30"/>
      <c r="U581" s="31"/>
      <c r="AC581" s="31"/>
      <c r="AN581" s="32"/>
      <c r="AO581" s="57"/>
    </row>
    <row r="582" spans="14:41">
      <c r="N582" s="30"/>
      <c r="U582" s="31"/>
      <c r="AC582" s="31"/>
      <c r="AN582" s="32"/>
      <c r="AO582" s="57"/>
    </row>
    <row r="583" spans="14:41">
      <c r="N583" s="30"/>
      <c r="U583" s="31"/>
      <c r="AC583" s="31"/>
      <c r="AN583" s="32"/>
      <c r="AO583" s="57"/>
    </row>
    <row r="584" spans="14:41">
      <c r="N584" s="30"/>
      <c r="U584" s="31"/>
      <c r="AC584" s="31"/>
      <c r="AN584" s="32"/>
      <c r="AO584" s="57"/>
    </row>
    <row r="585" spans="14:41">
      <c r="N585" s="30"/>
      <c r="U585" s="31"/>
      <c r="AC585" s="31"/>
      <c r="AN585" s="32"/>
      <c r="AO585" s="57"/>
    </row>
    <row r="586" spans="14:41">
      <c r="N586" s="30"/>
      <c r="U586" s="31"/>
      <c r="AC586" s="31"/>
      <c r="AN586" s="32"/>
      <c r="AO586" s="57"/>
    </row>
    <row r="587" spans="14:41">
      <c r="N587" s="30"/>
      <c r="U587" s="31"/>
      <c r="AC587" s="31"/>
      <c r="AN587" s="32"/>
      <c r="AO587" s="57"/>
    </row>
    <row r="588" spans="14:41">
      <c r="N588" s="30"/>
      <c r="U588" s="31"/>
      <c r="AC588" s="31"/>
      <c r="AN588" s="32"/>
      <c r="AO588" s="57"/>
    </row>
    <row r="589" spans="14:41">
      <c r="N589" s="30"/>
      <c r="U589" s="31"/>
      <c r="AC589" s="31"/>
      <c r="AN589" s="32"/>
      <c r="AO589" s="57"/>
    </row>
    <row r="590" spans="14:41">
      <c r="N590" s="30"/>
      <c r="U590" s="31"/>
      <c r="AC590" s="31"/>
      <c r="AN590" s="32"/>
      <c r="AO590" s="57"/>
    </row>
    <row r="591" spans="14:41">
      <c r="N591" s="30"/>
      <c r="U591" s="31"/>
      <c r="AC591" s="31"/>
      <c r="AN591" s="32"/>
      <c r="AO591" s="57"/>
    </row>
    <row r="592" spans="14:41">
      <c r="N592" s="30"/>
      <c r="U592" s="31"/>
      <c r="AC592" s="31"/>
      <c r="AN592" s="32"/>
      <c r="AO592" s="57"/>
    </row>
    <row r="593" spans="14:41">
      <c r="N593" s="30"/>
      <c r="U593" s="31"/>
      <c r="AC593" s="31"/>
      <c r="AN593" s="32"/>
      <c r="AO593" s="57"/>
    </row>
    <row r="594" spans="14:41">
      <c r="N594" s="30"/>
      <c r="U594" s="31"/>
      <c r="AC594" s="31"/>
      <c r="AN594" s="32"/>
      <c r="AO594" s="57"/>
    </row>
    <row r="595" spans="14:41">
      <c r="N595" s="30"/>
      <c r="U595" s="31"/>
      <c r="AC595" s="31"/>
      <c r="AN595" s="32"/>
      <c r="AO595" s="57"/>
    </row>
    <row r="596" spans="14:41">
      <c r="N596" s="30"/>
      <c r="U596" s="31"/>
      <c r="AC596" s="31"/>
      <c r="AN596" s="32"/>
      <c r="AO596" s="57"/>
    </row>
    <row r="597" spans="14:41">
      <c r="N597" s="30"/>
      <c r="U597" s="31"/>
      <c r="AC597" s="31"/>
      <c r="AN597" s="32"/>
      <c r="AO597" s="57"/>
    </row>
    <row r="598" spans="14:41">
      <c r="N598" s="30"/>
      <c r="U598" s="31"/>
      <c r="AC598" s="31"/>
      <c r="AN598" s="32"/>
      <c r="AO598" s="57"/>
    </row>
    <row r="599" spans="14:41">
      <c r="N599" s="30"/>
      <c r="U599" s="31"/>
      <c r="AC599" s="31"/>
      <c r="AN599" s="32"/>
      <c r="AO599" s="57"/>
    </row>
    <row r="600" spans="14:41">
      <c r="N600" s="30"/>
      <c r="U600" s="31"/>
      <c r="AC600" s="31"/>
      <c r="AN600" s="32"/>
      <c r="AO600" s="57"/>
    </row>
    <row r="601" spans="14:41">
      <c r="N601" s="30"/>
      <c r="U601" s="31"/>
      <c r="AC601" s="31"/>
      <c r="AN601" s="32"/>
      <c r="AO601" s="57"/>
    </row>
    <row r="602" spans="14:41">
      <c r="N602" s="30"/>
      <c r="U602" s="31"/>
      <c r="AC602" s="31"/>
      <c r="AN602" s="32"/>
      <c r="AO602" s="57"/>
    </row>
    <row r="603" spans="14:41">
      <c r="N603" s="30"/>
      <c r="U603" s="31"/>
      <c r="AC603" s="31"/>
      <c r="AN603" s="32"/>
      <c r="AO603" s="57"/>
    </row>
    <row r="604" spans="14:41">
      <c r="N604" s="30"/>
      <c r="U604" s="31"/>
      <c r="AC604" s="31"/>
      <c r="AN604" s="32"/>
      <c r="AO604" s="57"/>
    </row>
    <row r="605" spans="14:41">
      <c r="N605" s="30"/>
      <c r="U605" s="31"/>
      <c r="AC605" s="31"/>
      <c r="AN605" s="32"/>
      <c r="AO605" s="57"/>
    </row>
    <row r="606" spans="14:41">
      <c r="N606" s="30"/>
      <c r="U606" s="31"/>
      <c r="AC606" s="31"/>
      <c r="AN606" s="32"/>
      <c r="AO606" s="57"/>
    </row>
    <row r="607" spans="14:41">
      <c r="N607" s="30"/>
      <c r="U607" s="31"/>
      <c r="AC607" s="31"/>
      <c r="AN607" s="32"/>
      <c r="AO607" s="57"/>
    </row>
    <row r="608" spans="14:41">
      <c r="N608" s="30"/>
      <c r="U608" s="31"/>
      <c r="AC608" s="31"/>
      <c r="AN608" s="32"/>
      <c r="AO608" s="57"/>
    </row>
    <row r="609" spans="14:41">
      <c r="N609" s="30"/>
      <c r="U609" s="31"/>
      <c r="AC609" s="31"/>
      <c r="AN609" s="32"/>
      <c r="AO609" s="57"/>
    </row>
    <row r="610" spans="14:41">
      <c r="N610" s="30"/>
      <c r="U610" s="31"/>
      <c r="AC610" s="31"/>
      <c r="AN610" s="32"/>
      <c r="AO610" s="57"/>
    </row>
    <row r="611" spans="14:41">
      <c r="N611" s="30"/>
      <c r="U611" s="31"/>
      <c r="AC611" s="31"/>
      <c r="AN611" s="32"/>
      <c r="AO611" s="57"/>
    </row>
    <row r="612" spans="14:41">
      <c r="N612" s="30"/>
      <c r="U612" s="31"/>
      <c r="AC612" s="31"/>
      <c r="AN612" s="32"/>
      <c r="AO612" s="57"/>
    </row>
    <row r="613" spans="14:41">
      <c r="N613" s="30"/>
      <c r="U613" s="31"/>
      <c r="AC613" s="31"/>
      <c r="AN613" s="32"/>
      <c r="AO613" s="57"/>
    </row>
    <row r="614" spans="14:41">
      <c r="N614" s="30"/>
      <c r="U614" s="31"/>
      <c r="AC614" s="31"/>
      <c r="AN614" s="32"/>
      <c r="AO614" s="57"/>
    </row>
    <row r="615" spans="14:41">
      <c r="N615" s="30"/>
      <c r="U615" s="31"/>
      <c r="AC615" s="31"/>
      <c r="AN615" s="32"/>
      <c r="AO615" s="57"/>
    </row>
    <row r="616" spans="14:41">
      <c r="N616" s="30"/>
      <c r="U616" s="31"/>
      <c r="AC616" s="31"/>
      <c r="AN616" s="32"/>
      <c r="AO616" s="57"/>
    </row>
    <row r="617" spans="14:41">
      <c r="N617" s="30"/>
      <c r="U617" s="31"/>
      <c r="AC617" s="31"/>
      <c r="AN617" s="32"/>
      <c r="AO617" s="57"/>
    </row>
    <row r="618" spans="14:41">
      <c r="N618" s="30"/>
      <c r="U618" s="31"/>
      <c r="AC618" s="31"/>
      <c r="AN618" s="32"/>
      <c r="AO618" s="57"/>
    </row>
    <row r="619" spans="14:41">
      <c r="N619" s="30"/>
      <c r="U619" s="31"/>
      <c r="AC619" s="31"/>
      <c r="AN619" s="32"/>
      <c r="AO619" s="57"/>
    </row>
    <row r="620" spans="14:41">
      <c r="N620" s="30"/>
      <c r="U620" s="31"/>
      <c r="AC620" s="31"/>
      <c r="AN620" s="32"/>
      <c r="AO620" s="57"/>
    </row>
    <row r="621" spans="14:41">
      <c r="N621" s="30"/>
      <c r="U621" s="31"/>
      <c r="AC621" s="31"/>
      <c r="AN621" s="32"/>
      <c r="AO621" s="57"/>
    </row>
    <row r="622" spans="14:41">
      <c r="N622" s="30"/>
      <c r="U622" s="31"/>
      <c r="AC622" s="31"/>
      <c r="AN622" s="32"/>
      <c r="AO622" s="57"/>
    </row>
    <row r="623" spans="14:41">
      <c r="N623" s="30"/>
      <c r="U623" s="31"/>
      <c r="AC623" s="31"/>
      <c r="AN623" s="32"/>
      <c r="AO623" s="57"/>
    </row>
    <row r="624" spans="14:41">
      <c r="N624" s="30"/>
      <c r="U624" s="31"/>
      <c r="AC624" s="31"/>
      <c r="AN624" s="32"/>
      <c r="AO624" s="57"/>
    </row>
    <row r="625" spans="14:41">
      <c r="N625" s="30"/>
      <c r="U625" s="31"/>
      <c r="AC625" s="31"/>
      <c r="AN625" s="32"/>
      <c r="AO625" s="57"/>
    </row>
    <row r="626" spans="14:41">
      <c r="N626" s="30"/>
      <c r="U626" s="31"/>
      <c r="AC626" s="31"/>
      <c r="AN626" s="32"/>
      <c r="AO626" s="57"/>
    </row>
    <row r="627" spans="14:41">
      <c r="N627" s="30"/>
      <c r="U627" s="31"/>
      <c r="AC627" s="31"/>
      <c r="AN627" s="32"/>
      <c r="AO627" s="57"/>
    </row>
    <row r="628" spans="14:41">
      <c r="N628" s="30"/>
      <c r="U628" s="31"/>
      <c r="AC628" s="31"/>
      <c r="AN628" s="32"/>
      <c r="AO628" s="57"/>
    </row>
    <row r="629" spans="14:41">
      <c r="N629" s="30"/>
      <c r="U629" s="31"/>
      <c r="AC629" s="31"/>
      <c r="AN629" s="32"/>
      <c r="AO629" s="57"/>
    </row>
    <row r="630" spans="14:41">
      <c r="N630" s="30"/>
      <c r="U630" s="31"/>
      <c r="AC630" s="31"/>
      <c r="AN630" s="32"/>
      <c r="AO630" s="57"/>
    </row>
    <row r="631" spans="14:41">
      <c r="N631" s="30"/>
      <c r="U631" s="31"/>
      <c r="AC631" s="31"/>
      <c r="AN631" s="32"/>
      <c r="AO631" s="57"/>
    </row>
    <row r="632" spans="14:41">
      <c r="N632" s="30"/>
      <c r="U632" s="31"/>
      <c r="AC632" s="31"/>
      <c r="AN632" s="32"/>
      <c r="AO632" s="57"/>
    </row>
    <row r="633" spans="14:41">
      <c r="N633" s="30"/>
      <c r="U633" s="31"/>
      <c r="AC633" s="31"/>
      <c r="AN633" s="32"/>
      <c r="AO633" s="57"/>
    </row>
    <row r="634" spans="14:41">
      <c r="N634" s="30"/>
      <c r="U634" s="31"/>
      <c r="AC634" s="31"/>
      <c r="AN634" s="32"/>
      <c r="AO634" s="57"/>
    </row>
    <row r="635" spans="14:41">
      <c r="N635" s="30"/>
      <c r="U635" s="31"/>
      <c r="AC635" s="31"/>
      <c r="AN635" s="32"/>
      <c r="AO635" s="57"/>
    </row>
    <row r="636" spans="14:41">
      <c r="N636" s="30"/>
      <c r="U636" s="31"/>
      <c r="AC636" s="31"/>
      <c r="AN636" s="32"/>
      <c r="AO636" s="57"/>
    </row>
    <row r="637" spans="14:41">
      <c r="N637" s="30"/>
      <c r="U637" s="31"/>
      <c r="AC637" s="31"/>
      <c r="AN637" s="32"/>
      <c r="AO637" s="57"/>
    </row>
    <row r="638" spans="14:41">
      <c r="N638" s="30"/>
      <c r="U638" s="31"/>
      <c r="AC638" s="31"/>
      <c r="AN638" s="32"/>
      <c r="AO638" s="57"/>
    </row>
    <row r="639" spans="14:41">
      <c r="N639" s="30"/>
      <c r="U639" s="31"/>
      <c r="AC639" s="31"/>
      <c r="AN639" s="32"/>
      <c r="AO639" s="57"/>
    </row>
    <row r="640" spans="14:41">
      <c r="N640" s="30"/>
      <c r="U640" s="31"/>
      <c r="AC640" s="31"/>
      <c r="AN640" s="32"/>
      <c r="AO640" s="57"/>
    </row>
    <row r="641" spans="14:41">
      <c r="N641" s="30"/>
      <c r="U641" s="31"/>
      <c r="AC641" s="31"/>
      <c r="AN641" s="32"/>
      <c r="AO641" s="57"/>
    </row>
    <row r="642" spans="14:41">
      <c r="N642" s="30"/>
      <c r="U642" s="31"/>
      <c r="AC642" s="31"/>
      <c r="AN642" s="32"/>
      <c r="AO642" s="57"/>
    </row>
    <row r="643" spans="14:41">
      <c r="N643" s="30"/>
      <c r="U643" s="31"/>
      <c r="AC643" s="31"/>
      <c r="AN643" s="32"/>
      <c r="AO643" s="57"/>
    </row>
    <row r="644" spans="14:41">
      <c r="N644" s="30"/>
      <c r="U644" s="31"/>
      <c r="AC644" s="31"/>
      <c r="AN644" s="32"/>
      <c r="AO644" s="57"/>
    </row>
    <row r="645" spans="14:41">
      <c r="N645" s="30"/>
      <c r="U645" s="31"/>
      <c r="AC645" s="31"/>
      <c r="AN645" s="32"/>
      <c r="AO645" s="57"/>
    </row>
    <row r="646" spans="14:41">
      <c r="N646" s="30"/>
      <c r="U646" s="31"/>
      <c r="AC646" s="31"/>
      <c r="AN646" s="32"/>
      <c r="AO646" s="57"/>
    </row>
    <row r="647" spans="14:41">
      <c r="N647" s="30"/>
      <c r="U647" s="31"/>
      <c r="AC647" s="31"/>
      <c r="AN647" s="32"/>
      <c r="AO647" s="57"/>
    </row>
    <row r="648" spans="14:41">
      <c r="N648" s="30"/>
      <c r="U648" s="31"/>
      <c r="AC648" s="31"/>
      <c r="AN648" s="32"/>
      <c r="AO648" s="57"/>
    </row>
    <row r="649" spans="14:41">
      <c r="N649" s="30"/>
      <c r="U649" s="31"/>
      <c r="AC649" s="31"/>
      <c r="AN649" s="32"/>
      <c r="AO649" s="57"/>
    </row>
    <row r="650" spans="14:41">
      <c r="N650" s="30"/>
      <c r="U650" s="31"/>
      <c r="AC650" s="31"/>
      <c r="AN650" s="32"/>
      <c r="AO650" s="57"/>
    </row>
    <row r="651" spans="14:41">
      <c r="N651" s="30"/>
      <c r="U651" s="31"/>
      <c r="AC651" s="31"/>
      <c r="AN651" s="32"/>
      <c r="AO651" s="57"/>
    </row>
    <row r="652" spans="14:41">
      <c r="N652" s="30"/>
      <c r="U652" s="31"/>
      <c r="AC652" s="31"/>
      <c r="AN652" s="32"/>
      <c r="AO652" s="57"/>
    </row>
    <row r="653" spans="14:41">
      <c r="N653" s="30"/>
      <c r="U653" s="31"/>
      <c r="AC653" s="31"/>
      <c r="AN653" s="32"/>
      <c r="AO653" s="57"/>
    </row>
    <row r="654" spans="14:41">
      <c r="N654" s="30"/>
      <c r="U654" s="31"/>
      <c r="AC654" s="31"/>
      <c r="AN654" s="32"/>
      <c r="AO654" s="57"/>
    </row>
    <row r="655" spans="14:41">
      <c r="N655" s="30"/>
      <c r="U655" s="31"/>
      <c r="AC655" s="31"/>
      <c r="AN655" s="32"/>
      <c r="AO655" s="57"/>
    </row>
    <row r="656" spans="14:41">
      <c r="N656" s="30"/>
      <c r="U656" s="31"/>
      <c r="AC656" s="31"/>
      <c r="AN656" s="32"/>
      <c r="AO656" s="57"/>
    </row>
    <row r="657" spans="14:41">
      <c r="N657" s="30"/>
      <c r="U657" s="31"/>
      <c r="AC657" s="31"/>
      <c r="AN657" s="32"/>
      <c r="AO657" s="57"/>
    </row>
    <row r="658" spans="14:41">
      <c r="N658" s="30"/>
      <c r="U658" s="31"/>
      <c r="AC658" s="31"/>
      <c r="AN658" s="32"/>
      <c r="AO658" s="57"/>
    </row>
    <row r="659" spans="14:41">
      <c r="N659" s="30"/>
      <c r="U659" s="31"/>
      <c r="AC659" s="31"/>
      <c r="AN659" s="32"/>
      <c r="AO659" s="57"/>
    </row>
    <row r="660" spans="14:41">
      <c r="N660" s="30"/>
      <c r="U660" s="31"/>
      <c r="AC660" s="31"/>
      <c r="AN660" s="32"/>
      <c r="AO660" s="57"/>
    </row>
    <row r="661" spans="14:41">
      <c r="N661" s="30"/>
      <c r="U661" s="31"/>
      <c r="AC661" s="31"/>
      <c r="AN661" s="32"/>
      <c r="AO661" s="57"/>
    </row>
    <row r="662" spans="14:41">
      <c r="N662" s="30"/>
      <c r="U662" s="31"/>
      <c r="AC662" s="31"/>
      <c r="AN662" s="32"/>
      <c r="AO662" s="57"/>
    </row>
    <row r="663" spans="14:41">
      <c r="N663" s="30"/>
      <c r="U663" s="31"/>
      <c r="AC663" s="31"/>
      <c r="AN663" s="32"/>
      <c r="AO663" s="57"/>
    </row>
    <row r="664" spans="14:41">
      <c r="N664" s="30"/>
      <c r="U664" s="31"/>
      <c r="AC664" s="31"/>
      <c r="AN664" s="32"/>
      <c r="AO664" s="57"/>
    </row>
    <row r="665" spans="14:41">
      <c r="N665" s="30"/>
      <c r="U665" s="31"/>
      <c r="AC665" s="31"/>
      <c r="AN665" s="32"/>
      <c r="AO665" s="57"/>
    </row>
    <row r="666" spans="14:41">
      <c r="N666" s="30"/>
      <c r="U666" s="31"/>
      <c r="AC666" s="31"/>
      <c r="AN666" s="32"/>
      <c r="AO666" s="57"/>
    </row>
    <row r="667" spans="14:41">
      <c r="N667" s="30"/>
      <c r="U667" s="31"/>
      <c r="AC667" s="31"/>
      <c r="AN667" s="32"/>
      <c r="AO667" s="57"/>
    </row>
    <row r="668" spans="14:41">
      <c r="N668" s="30"/>
      <c r="U668" s="31"/>
      <c r="AC668" s="31"/>
      <c r="AN668" s="32"/>
      <c r="AO668" s="57"/>
    </row>
    <row r="669" spans="14:41">
      <c r="N669" s="30"/>
      <c r="U669" s="31"/>
      <c r="AC669" s="31"/>
      <c r="AN669" s="32"/>
      <c r="AO669" s="57"/>
    </row>
    <row r="670" spans="14:41">
      <c r="N670" s="30"/>
      <c r="U670" s="31"/>
      <c r="AC670" s="31"/>
      <c r="AN670" s="32"/>
      <c r="AO670" s="57"/>
    </row>
    <row r="671" spans="14:41">
      <c r="N671" s="30"/>
      <c r="U671" s="31"/>
      <c r="AC671" s="31"/>
      <c r="AN671" s="32"/>
      <c r="AO671" s="57"/>
    </row>
    <row r="672" spans="14:41">
      <c r="N672" s="30"/>
      <c r="U672" s="31"/>
      <c r="AC672" s="31"/>
      <c r="AN672" s="32"/>
      <c r="AO672" s="57"/>
    </row>
    <row r="673" spans="14:41">
      <c r="N673" s="30"/>
      <c r="U673" s="31"/>
      <c r="AC673" s="31"/>
      <c r="AN673" s="32"/>
      <c r="AO673" s="57"/>
    </row>
    <row r="674" spans="14:41">
      <c r="N674" s="30"/>
      <c r="U674" s="31"/>
      <c r="AC674" s="31"/>
      <c r="AN674" s="32"/>
      <c r="AO674" s="57"/>
    </row>
    <row r="675" spans="14:41">
      <c r="N675" s="30"/>
      <c r="U675" s="31"/>
      <c r="AC675" s="31"/>
      <c r="AN675" s="32"/>
      <c r="AO675" s="57"/>
    </row>
    <row r="676" spans="14:41">
      <c r="N676" s="30"/>
      <c r="U676" s="31"/>
      <c r="AC676" s="31"/>
      <c r="AN676" s="32"/>
      <c r="AO676" s="57"/>
    </row>
    <row r="677" spans="14:41">
      <c r="N677" s="30"/>
      <c r="U677" s="31"/>
      <c r="AC677" s="31"/>
      <c r="AN677" s="32"/>
      <c r="AO677" s="57"/>
    </row>
    <row r="678" spans="14:41">
      <c r="N678" s="30"/>
      <c r="U678" s="31"/>
      <c r="AC678" s="31"/>
      <c r="AN678" s="32"/>
      <c r="AO678" s="57"/>
    </row>
    <row r="679" spans="14:41">
      <c r="N679" s="30"/>
      <c r="U679" s="31"/>
      <c r="AC679" s="31"/>
      <c r="AN679" s="32"/>
      <c r="AO679" s="57"/>
    </row>
    <row r="680" spans="14:41">
      <c r="N680" s="30"/>
      <c r="U680" s="31"/>
      <c r="AC680" s="31"/>
      <c r="AN680" s="32"/>
      <c r="AO680" s="57"/>
    </row>
    <row r="681" spans="14:41">
      <c r="N681" s="30"/>
      <c r="U681" s="31"/>
      <c r="AC681" s="31"/>
      <c r="AN681" s="32"/>
      <c r="AO681" s="57"/>
    </row>
    <row r="682" spans="14:41">
      <c r="N682" s="30"/>
      <c r="U682" s="31"/>
      <c r="AC682" s="31"/>
      <c r="AN682" s="32"/>
      <c r="AO682" s="57"/>
    </row>
    <row r="683" spans="14:41">
      <c r="N683" s="30"/>
      <c r="U683" s="31"/>
      <c r="AC683" s="31"/>
      <c r="AN683" s="32"/>
      <c r="AO683" s="57"/>
    </row>
    <row r="684" spans="14:41">
      <c r="N684" s="30"/>
      <c r="U684" s="31"/>
      <c r="AC684" s="31"/>
      <c r="AN684" s="32"/>
      <c r="AO684" s="57"/>
    </row>
    <row r="685" spans="14:41">
      <c r="N685" s="30"/>
      <c r="U685" s="31"/>
      <c r="AC685" s="31"/>
      <c r="AN685" s="32"/>
      <c r="AO685" s="57"/>
    </row>
    <row r="686" spans="14:41">
      <c r="N686" s="30"/>
      <c r="U686" s="31"/>
      <c r="AC686" s="31"/>
      <c r="AN686" s="32"/>
      <c r="AO686" s="57"/>
    </row>
    <row r="687" spans="14:41">
      <c r="N687" s="30"/>
      <c r="U687" s="31"/>
      <c r="AC687" s="31"/>
      <c r="AN687" s="32"/>
      <c r="AO687" s="57"/>
    </row>
    <row r="688" spans="14:41">
      <c r="N688" s="30"/>
      <c r="U688" s="31"/>
      <c r="AC688" s="31"/>
      <c r="AN688" s="32"/>
      <c r="AO688" s="57"/>
    </row>
    <row r="689" spans="14:41">
      <c r="N689" s="30"/>
      <c r="U689" s="31"/>
      <c r="AC689" s="31"/>
      <c r="AN689" s="32"/>
      <c r="AO689" s="57"/>
    </row>
    <row r="690" spans="14:41">
      <c r="N690" s="30"/>
      <c r="U690" s="31"/>
      <c r="AC690" s="31"/>
      <c r="AN690" s="32"/>
      <c r="AO690" s="57"/>
    </row>
    <row r="691" spans="14:41">
      <c r="N691" s="30"/>
      <c r="U691" s="31"/>
      <c r="AC691" s="31"/>
      <c r="AN691" s="32"/>
      <c r="AO691" s="57"/>
    </row>
    <row r="692" spans="14:41">
      <c r="N692" s="30"/>
      <c r="U692" s="31"/>
      <c r="AC692" s="31"/>
      <c r="AN692" s="32"/>
      <c r="AO692" s="57"/>
    </row>
    <row r="693" spans="14:41">
      <c r="N693" s="30"/>
      <c r="U693" s="31"/>
      <c r="AC693" s="31"/>
      <c r="AN693" s="32"/>
      <c r="AO693" s="57"/>
    </row>
    <row r="694" spans="14:41">
      <c r="N694" s="30"/>
      <c r="U694" s="31"/>
      <c r="AC694" s="31"/>
      <c r="AN694" s="32"/>
      <c r="AO694" s="57"/>
    </row>
    <row r="695" spans="14:41">
      <c r="N695" s="30"/>
      <c r="U695" s="31"/>
      <c r="AC695" s="31"/>
      <c r="AN695" s="32"/>
      <c r="AO695" s="57"/>
    </row>
    <row r="696" spans="14:41">
      <c r="N696" s="30"/>
      <c r="U696" s="31"/>
      <c r="AC696" s="31"/>
      <c r="AN696" s="32"/>
      <c r="AO696" s="57"/>
    </row>
    <row r="697" spans="14:41">
      <c r="N697" s="30"/>
      <c r="U697" s="31"/>
      <c r="AC697" s="31"/>
      <c r="AN697" s="32"/>
      <c r="AO697" s="57"/>
    </row>
    <row r="698" spans="14:41">
      <c r="N698" s="30"/>
      <c r="U698" s="31"/>
      <c r="AC698" s="31"/>
      <c r="AN698" s="32"/>
      <c r="AO698" s="57"/>
    </row>
    <row r="699" spans="14:41">
      <c r="N699" s="30"/>
      <c r="U699" s="31"/>
      <c r="AC699" s="31"/>
      <c r="AN699" s="32"/>
      <c r="AO699" s="57"/>
    </row>
    <row r="700" spans="14:41">
      <c r="N700" s="30"/>
      <c r="U700" s="31"/>
      <c r="AC700" s="31"/>
      <c r="AN700" s="32"/>
      <c r="AO700" s="57"/>
    </row>
    <row r="701" spans="14:41">
      <c r="N701" s="30"/>
      <c r="U701" s="31"/>
      <c r="AC701" s="31"/>
      <c r="AN701" s="32"/>
      <c r="AO701" s="57"/>
    </row>
    <row r="702" spans="14:41">
      <c r="N702" s="30"/>
      <c r="U702" s="31"/>
      <c r="AC702" s="31"/>
      <c r="AN702" s="32"/>
      <c r="AO702" s="57"/>
    </row>
    <row r="703" spans="14:41">
      <c r="N703" s="30"/>
      <c r="U703" s="31"/>
      <c r="AC703" s="31"/>
      <c r="AN703" s="32"/>
      <c r="AO703" s="57"/>
    </row>
    <row r="704" spans="14:41">
      <c r="N704" s="30"/>
      <c r="U704" s="31"/>
      <c r="AC704" s="31"/>
      <c r="AN704" s="32"/>
      <c r="AO704" s="57"/>
    </row>
    <row r="705" spans="14:41">
      <c r="N705" s="30"/>
      <c r="U705" s="31"/>
      <c r="AC705" s="31"/>
      <c r="AN705" s="32"/>
      <c r="AO705" s="57"/>
    </row>
    <row r="706" spans="14:41">
      <c r="N706" s="30"/>
      <c r="U706" s="31"/>
      <c r="AC706" s="31"/>
      <c r="AN706" s="32"/>
      <c r="AO706" s="57"/>
    </row>
    <row r="707" spans="14:41">
      <c r="N707" s="30"/>
      <c r="U707" s="31"/>
      <c r="AC707" s="31"/>
      <c r="AN707" s="32"/>
      <c r="AO707" s="57"/>
    </row>
    <row r="708" spans="14:41">
      <c r="N708" s="30"/>
      <c r="U708" s="31"/>
      <c r="AC708" s="31"/>
      <c r="AN708" s="32"/>
      <c r="AO708" s="57"/>
    </row>
    <row r="709" spans="14:41">
      <c r="N709" s="30"/>
      <c r="U709" s="31"/>
      <c r="AC709" s="31"/>
      <c r="AN709" s="32"/>
      <c r="AO709" s="57"/>
    </row>
    <row r="710" spans="14:41">
      <c r="N710" s="30"/>
      <c r="U710" s="31"/>
      <c r="AC710" s="31"/>
      <c r="AN710" s="32"/>
      <c r="AO710" s="57"/>
    </row>
    <row r="711" spans="14:41">
      <c r="N711" s="30"/>
      <c r="U711" s="31"/>
      <c r="AC711" s="31"/>
      <c r="AN711" s="32"/>
      <c r="AO711" s="57"/>
    </row>
    <row r="712" spans="14:41">
      <c r="N712" s="30"/>
      <c r="U712" s="31"/>
      <c r="AC712" s="31"/>
      <c r="AN712" s="32"/>
      <c r="AO712" s="57"/>
    </row>
    <row r="713" spans="14:41">
      <c r="N713" s="30"/>
      <c r="U713" s="31"/>
      <c r="AC713" s="31"/>
      <c r="AN713" s="32"/>
      <c r="AO713" s="57"/>
    </row>
    <row r="714" spans="14:41">
      <c r="N714" s="30"/>
      <c r="U714" s="31"/>
      <c r="AC714" s="31"/>
      <c r="AN714" s="32"/>
      <c r="AO714" s="57"/>
    </row>
    <row r="715" spans="14:41">
      <c r="N715" s="30"/>
      <c r="U715" s="31"/>
      <c r="AC715" s="31"/>
      <c r="AN715" s="32"/>
      <c r="AO715" s="57"/>
    </row>
    <row r="716" spans="14:41">
      <c r="N716" s="30"/>
      <c r="U716" s="31"/>
      <c r="AC716" s="31"/>
      <c r="AN716" s="32"/>
      <c r="AO716" s="57"/>
    </row>
    <row r="717" spans="14:41">
      <c r="N717" s="30"/>
      <c r="U717" s="31"/>
      <c r="AC717" s="31"/>
      <c r="AN717" s="32"/>
      <c r="AO717" s="57"/>
    </row>
    <row r="718" spans="14:41">
      <c r="N718" s="30"/>
      <c r="U718" s="31"/>
      <c r="AC718" s="31"/>
      <c r="AN718" s="32"/>
      <c r="AO718" s="57"/>
    </row>
    <row r="719" spans="14:41">
      <c r="N719" s="30"/>
      <c r="U719" s="31"/>
      <c r="AC719" s="31"/>
      <c r="AN719" s="32"/>
      <c r="AO719" s="57"/>
    </row>
    <row r="720" spans="14:41">
      <c r="N720" s="30"/>
      <c r="U720" s="31"/>
      <c r="AC720" s="31"/>
      <c r="AN720" s="32"/>
      <c r="AO720" s="57"/>
    </row>
    <row r="721" spans="14:41">
      <c r="N721" s="30"/>
      <c r="U721" s="31"/>
      <c r="AC721" s="31"/>
      <c r="AN721" s="32"/>
      <c r="AO721" s="57"/>
    </row>
    <row r="722" spans="14:41">
      <c r="N722" s="30"/>
      <c r="U722" s="31"/>
      <c r="AC722" s="31"/>
      <c r="AN722" s="32"/>
      <c r="AO722" s="57"/>
    </row>
    <row r="723" spans="14:41">
      <c r="N723" s="30"/>
      <c r="U723" s="31"/>
      <c r="AC723" s="31"/>
      <c r="AN723" s="32"/>
      <c r="AO723" s="57"/>
    </row>
    <row r="724" spans="14:41">
      <c r="N724" s="30"/>
      <c r="U724" s="31"/>
      <c r="AC724" s="31"/>
      <c r="AN724" s="32"/>
      <c r="AO724" s="57"/>
    </row>
    <row r="725" spans="14:41">
      <c r="N725" s="30"/>
      <c r="U725" s="31"/>
      <c r="AC725" s="31"/>
      <c r="AN725" s="32"/>
      <c r="AO725" s="57"/>
    </row>
    <row r="726" spans="14:41">
      <c r="N726" s="30"/>
      <c r="U726" s="31"/>
      <c r="AC726" s="31"/>
      <c r="AN726" s="32"/>
      <c r="AO726" s="57"/>
    </row>
    <row r="727" spans="14:41">
      <c r="N727" s="30"/>
      <c r="U727" s="31"/>
      <c r="AC727" s="31"/>
      <c r="AN727" s="32"/>
      <c r="AO727" s="57"/>
    </row>
    <row r="728" spans="14:41">
      <c r="N728" s="30"/>
      <c r="U728" s="31"/>
      <c r="AC728" s="31"/>
      <c r="AN728" s="32"/>
      <c r="AO728" s="57"/>
    </row>
    <row r="729" spans="14:41">
      <c r="N729" s="30"/>
      <c r="U729" s="31"/>
      <c r="AC729" s="31"/>
      <c r="AN729" s="32"/>
      <c r="AO729" s="57"/>
    </row>
    <row r="730" spans="14:41">
      <c r="N730" s="30"/>
      <c r="U730" s="31"/>
      <c r="AC730" s="31"/>
      <c r="AN730" s="32"/>
      <c r="AO730" s="57"/>
    </row>
    <row r="731" spans="14:41">
      <c r="N731" s="30"/>
      <c r="U731" s="31"/>
      <c r="AC731" s="31"/>
      <c r="AN731" s="32"/>
      <c r="AO731" s="57"/>
    </row>
    <row r="732" spans="14:41">
      <c r="N732" s="30"/>
      <c r="U732" s="31"/>
      <c r="AC732" s="31"/>
      <c r="AN732" s="32"/>
      <c r="AO732" s="57"/>
    </row>
    <row r="733" spans="14:41">
      <c r="N733" s="30"/>
      <c r="U733" s="31"/>
      <c r="AC733" s="31"/>
      <c r="AN733" s="32"/>
      <c r="AO733" s="57"/>
    </row>
    <row r="734" spans="14:41">
      <c r="N734" s="30"/>
      <c r="U734" s="31"/>
      <c r="AC734" s="31"/>
      <c r="AN734" s="32"/>
      <c r="AO734" s="57"/>
    </row>
    <row r="735" spans="14:41">
      <c r="N735" s="30"/>
      <c r="U735" s="31"/>
      <c r="AC735" s="31"/>
      <c r="AN735" s="32"/>
      <c r="AO735" s="57"/>
    </row>
    <row r="736" spans="14:41">
      <c r="N736" s="30"/>
      <c r="U736" s="31"/>
      <c r="AC736" s="31"/>
      <c r="AN736" s="32"/>
      <c r="AO736" s="57"/>
    </row>
    <row r="737" spans="14:41">
      <c r="N737" s="30"/>
      <c r="U737" s="31"/>
      <c r="AC737" s="31"/>
      <c r="AN737" s="32"/>
      <c r="AO737" s="57"/>
    </row>
    <row r="738" spans="14:41">
      <c r="N738" s="30"/>
      <c r="U738" s="31"/>
      <c r="AC738" s="31"/>
      <c r="AN738" s="32"/>
      <c r="AO738" s="57"/>
    </row>
    <row r="739" spans="14:41">
      <c r="N739" s="30"/>
      <c r="U739" s="31"/>
      <c r="AC739" s="31"/>
      <c r="AN739" s="32"/>
      <c r="AO739" s="57"/>
    </row>
    <row r="740" spans="14:41">
      <c r="N740" s="30"/>
      <c r="U740" s="31"/>
      <c r="AC740" s="31"/>
      <c r="AN740" s="32"/>
      <c r="AO740" s="57"/>
    </row>
    <row r="741" spans="14:41">
      <c r="N741" s="30"/>
      <c r="U741" s="31"/>
      <c r="AC741" s="31"/>
      <c r="AN741" s="32"/>
      <c r="AO741" s="57"/>
    </row>
    <row r="742" spans="14:41">
      <c r="N742" s="30"/>
      <c r="U742" s="31"/>
      <c r="AC742" s="31"/>
      <c r="AN742" s="32"/>
      <c r="AO742" s="57"/>
    </row>
    <row r="743" spans="14:41">
      <c r="N743" s="30"/>
      <c r="U743" s="31"/>
      <c r="AC743" s="31"/>
      <c r="AN743" s="32"/>
      <c r="AO743" s="57"/>
    </row>
    <row r="744" spans="14:41">
      <c r="N744" s="30"/>
      <c r="U744" s="31"/>
      <c r="AC744" s="31"/>
      <c r="AN744" s="32"/>
      <c r="AO744" s="57"/>
    </row>
    <row r="745" spans="14:41">
      <c r="N745" s="30"/>
      <c r="U745" s="31"/>
      <c r="AC745" s="31"/>
      <c r="AN745" s="32"/>
      <c r="AO745" s="57"/>
    </row>
    <row r="746" spans="14:41">
      <c r="N746" s="30"/>
      <c r="U746" s="31"/>
      <c r="AC746" s="31"/>
      <c r="AN746" s="32"/>
      <c r="AO746" s="57"/>
    </row>
    <row r="747" spans="14:41">
      <c r="N747" s="30"/>
      <c r="U747" s="31"/>
      <c r="AC747" s="31"/>
      <c r="AN747" s="32"/>
      <c r="AO747" s="57"/>
    </row>
    <row r="748" spans="14:41">
      <c r="N748" s="30"/>
      <c r="U748" s="31"/>
      <c r="AC748" s="31"/>
      <c r="AN748" s="32"/>
      <c r="AO748" s="57"/>
    </row>
    <row r="749" spans="14:41">
      <c r="N749" s="30"/>
      <c r="U749" s="31"/>
      <c r="AC749" s="31"/>
      <c r="AN749" s="32"/>
      <c r="AO749" s="57"/>
    </row>
    <row r="750" spans="14:41">
      <c r="N750" s="30"/>
      <c r="U750" s="31"/>
      <c r="AC750" s="31"/>
      <c r="AN750" s="32"/>
      <c r="AO750" s="57"/>
    </row>
    <row r="751" spans="14:41">
      <c r="N751" s="30"/>
      <c r="U751" s="31"/>
      <c r="AC751" s="31"/>
      <c r="AN751" s="32"/>
      <c r="AO751" s="57"/>
    </row>
    <row r="752" spans="14:41">
      <c r="N752" s="30"/>
      <c r="U752" s="31"/>
      <c r="AC752" s="31"/>
      <c r="AN752" s="32"/>
      <c r="AO752" s="57"/>
    </row>
    <row r="753" spans="14:41">
      <c r="N753" s="30"/>
      <c r="U753" s="31"/>
      <c r="AC753" s="31"/>
      <c r="AN753" s="32"/>
      <c r="AO753" s="57"/>
    </row>
    <row r="754" spans="14:41">
      <c r="N754" s="30"/>
      <c r="U754" s="31"/>
      <c r="AC754" s="31"/>
      <c r="AN754" s="32"/>
      <c r="AO754" s="57"/>
    </row>
    <row r="755" spans="14:41">
      <c r="N755" s="30"/>
      <c r="U755" s="31"/>
      <c r="AC755" s="31"/>
      <c r="AN755" s="32"/>
      <c r="AO755" s="57"/>
    </row>
    <row r="756" spans="14:41">
      <c r="N756" s="30"/>
      <c r="U756" s="31"/>
      <c r="AC756" s="31"/>
      <c r="AN756" s="32"/>
      <c r="AO756" s="57"/>
    </row>
    <row r="757" spans="14:41">
      <c r="N757" s="30"/>
      <c r="U757" s="31"/>
      <c r="AC757" s="31"/>
      <c r="AN757" s="32"/>
      <c r="AO757" s="57"/>
    </row>
    <row r="758" spans="14:41">
      <c r="N758" s="30"/>
      <c r="U758" s="31"/>
      <c r="AC758" s="31"/>
      <c r="AN758" s="32"/>
      <c r="AO758" s="57"/>
    </row>
    <row r="759" spans="14:41">
      <c r="N759" s="30"/>
      <c r="U759" s="31"/>
      <c r="AC759" s="31"/>
      <c r="AN759" s="32"/>
      <c r="AO759" s="57"/>
    </row>
    <row r="760" spans="14:41">
      <c r="N760" s="30"/>
      <c r="U760" s="31"/>
      <c r="AC760" s="31"/>
      <c r="AN760" s="32"/>
      <c r="AO760" s="57"/>
    </row>
    <row r="761" spans="14:41">
      <c r="N761" s="30"/>
      <c r="U761" s="31"/>
      <c r="AC761" s="31"/>
      <c r="AN761" s="32"/>
      <c r="AO761" s="57"/>
    </row>
    <row r="762" spans="14:41">
      <c r="N762" s="30"/>
      <c r="U762" s="31"/>
      <c r="AC762" s="31"/>
      <c r="AN762" s="32"/>
      <c r="AO762" s="57"/>
    </row>
    <row r="763" spans="14:41">
      <c r="N763" s="30"/>
      <c r="U763" s="31"/>
      <c r="AC763" s="31"/>
      <c r="AN763" s="32"/>
      <c r="AO763" s="57"/>
    </row>
    <row r="764" spans="14:41">
      <c r="N764" s="30"/>
      <c r="U764" s="31"/>
      <c r="AC764" s="31"/>
      <c r="AN764" s="32"/>
      <c r="AO764" s="57"/>
    </row>
    <row r="765" spans="14:41">
      <c r="N765" s="30"/>
      <c r="U765" s="31"/>
      <c r="AC765" s="31"/>
      <c r="AN765" s="32"/>
      <c r="AO765" s="57"/>
    </row>
    <row r="766" spans="14:41">
      <c r="N766" s="30"/>
      <c r="U766" s="31"/>
      <c r="AC766" s="31"/>
      <c r="AN766" s="32"/>
      <c r="AO766" s="57"/>
    </row>
    <row r="767" spans="14:41">
      <c r="N767" s="30"/>
      <c r="U767" s="31"/>
      <c r="AC767" s="31"/>
      <c r="AN767" s="32"/>
      <c r="AO767" s="57"/>
    </row>
    <row r="768" spans="14:41">
      <c r="N768" s="30"/>
      <c r="U768" s="31"/>
      <c r="AC768" s="31"/>
      <c r="AN768" s="32"/>
      <c r="AO768" s="57"/>
    </row>
    <row r="769" spans="14:41">
      <c r="N769" s="30"/>
      <c r="U769" s="31"/>
      <c r="AC769" s="31"/>
      <c r="AN769" s="32"/>
      <c r="AO769" s="57"/>
    </row>
    <row r="770" spans="14:41">
      <c r="N770" s="30"/>
      <c r="U770" s="31"/>
      <c r="AC770" s="31"/>
      <c r="AN770" s="32"/>
      <c r="AO770" s="57"/>
    </row>
    <row r="771" spans="14:41">
      <c r="N771" s="30"/>
      <c r="U771" s="31"/>
      <c r="AC771" s="31"/>
      <c r="AN771" s="32"/>
      <c r="AO771" s="57"/>
    </row>
    <row r="772" spans="14:41">
      <c r="N772" s="30"/>
      <c r="U772" s="31"/>
      <c r="AC772" s="31"/>
      <c r="AN772" s="32"/>
      <c r="AO772" s="57"/>
    </row>
    <row r="773" spans="14:41">
      <c r="N773" s="30"/>
      <c r="U773" s="31"/>
      <c r="AC773" s="31"/>
      <c r="AN773" s="32"/>
      <c r="AO773" s="57"/>
    </row>
    <row r="774" spans="14:41">
      <c r="N774" s="30"/>
      <c r="U774" s="31"/>
      <c r="AC774" s="31"/>
      <c r="AN774" s="32"/>
      <c r="AO774" s="57"/>
    </row>
    <row r="775" spans="14:41">
      <c r="N775" s="30"/>
      <c r="U775" s="31"/>
      <c r="AC775" s="31"/>
      <c r="AN775" s="32"/>
      <c r="AO775" s="57"/>
    </row>
    <row r="776" spans="14:41">
      <c r="N776" s="30"/>
      <c r="U776" s="31"/>
      <c r="AC776" s="31"/>
      <c r="AN776" s="32"/>
      <c r="AO776" s="57"/>
    </row>
    <row r="777" spans="14:41">
      <c r="N777" s="30"/>
      <c r="U777" s="31"/>
      <c r="AC777" s="31"/>
      <c r="AN777" s="32"/>
      <c r="AO777" s="57"/>
    </row>
    <row r="778" spans="14:41">
      <c r="N778" s="30"/>
      <c r="U778" s="31"/>
      <c r="AC778" s="31"/>
      <c r="AN778" s="32"/>
      <c r="AO778" s="57"/>
    </row>
    <row r="779" spans="14:41">
      <c r="N779" s="30"/>
      <c r="U779" s="31"/>
      <c r="AC779" s="31"/>
      <c r="AN779" s="32"/>
      <c r="AO779" s="57"/>
    </row>
    <row r="780" spans="14:41">
      <c r="N780" s="30"/>
      <c r="U780" s="31"/>
      <c r="AC780" s="31"/>
      <c r="AN780" s="32"/>
      <c r="AO780" s="57"/>
    </row>
    <row r="781" spans="14:41">
      <c r="N781" s="30"/>
      <c r="U781" s="31"/>
      <c r="AC781" s="31"/>
      <c r="AN781" s="32"/>
      <c r="AO781" s="57"/>
    </row>
    <row r="782" spans="14:41">
      <c r="N782" s="30"/>
      <c r="U782" s="31"/>
      <c r="AC782" s="31"/>
      <c r="AN782" s="32"/>
      <c r="AO782" s="57"/>
    </row>
    <row r="783" spans="14:41">
      <c r="N783" s="30"/>
      <c r="U783" s="31"/>
      <c r="AC783" s="31"/>
      <c r="AN783" s="32"/>
      <c r="AO783" s="57"/>
    </row>
    <row r="784" spans="14:41">
      <c r="N784" s="30"/>
      <c r="U784" s="31"/>
      <c r="AC784" s="31"/>
      <c r="AN784" s="32"/>
      <c r="AO784" s="57"/>
    </row>
    <row r="785" spans="14:41">
      <c r="N785" s="30"/>
      <c r="U785" s="31"/>
      <c r="AC785" s="31"/>
      <c r="AN785" s="32"/>
      <c r="AO785" s="57"/>
    </row>
    <row r="786" spans="14:41">
      <c r="N786" s="30"/>
      <c r="U786" s="31"/>
      <c r="AC786" s="31"/>
      <c r="AN786" s="32"/>
      <c r="AO786" s="57"/>
    </row>
    <row r="787" spans="14:41">
      <c r="N787" s="30"/>
      <c r="U787" s="31"/>
      <c r="AC787" s="31"/>
      <c r="AN787" s="32"/>
      <c r="AO787" s="57"/>
    </row>
    <row r="788" spans="14:41">
      <c r="N788" s="30"/>
      <c r="U788" s="31"/>
      <c r="AC788" s="31"/>
      <c r="AN788" s="32"/>
      <c r="AO788" s="57"/>
    </row>
    <row r="789" spans="14:41">
      <c r="N789" s="30"/>
      <c r="U789" s="31"/>
      <c r="AC789" s="31"/>
      <c r="AN789" s="32"/>
      <c r="AO789" s="57"/>
    </row>
    <row r="790" spans="14:41">
      <c r="N790" s="30"/>
      <c r="U790" s="31"/>
      <c r="AC790" s="31"/>
      <c r="AN790" s="32"/>
      <c r="AO790" s="57"/>
    </row>
    <row r="791" spans="14:41">
      <c r="N791" s="30"/>
      <c r="U791" s="31"/>
      <c r="AC791" s="31"/>
      <c r="AN791" s="32"/>
      <c r="AO791" s="57"/>
    </row>
    <row r="792" spans="14:41">
      <c r="N792" s="30"/>
      <c r="U792" s="31"/>
      <c r="AC792" s="31"/>
      <c r="AN792" s="32"/>
      <c r="AO792" s="57"/>
    </row>
    <row r="793" spans="14:41">
      <c r="N793" s="30"/>
      <c r="U793" s="31"/>
      <c r="AC793" s="31"/>
      <c r="AN793" s="32"/>
      <c r="AO793" s="57"/>
    </row>
    <row r="794" spans="14:41">
      <c r="N794" s="30"/>
      <c r="U794" s="31"/>
      <c r="AC794" s="31"/>
      <c r="AN794" s="32"/>
      <c r="AO794" s="57"/>
    </row>
    <row r="795" spans="14:41">
      <c r="N795" s="30"/>
      <c r="U795" s="31"/>
      <c r="AC795" s="31"/>
      <c r="AN795" s="32"/>
      <c r="AO795" s="57"/>
    </row>
    <row r="796" spans="14:41">
      <c r="N796" s="30"/>
      <c r="U796" s="31"/>
      <c r="AC796" s="31"/>
      <c r="AN796" s="32"/>
      <c r="AO796" s="57"/>
    </row>
    <row r="797" spans="14:41">
      <c r="N797" s="30"/>
      <c r="U797" s="31"/>
      <c r="AC797" s="31"/>
      <c r="AN797" s="32"/>
      <c r="AO797" s="57"/>
    </row>
    <row r="798" spans="14:41">
      <c r="N798" s="30"/>
      <c r="U798" s="31"/>
      <c r="AC798" s="31"/>
      <c r="AN798" s="32"/>
      <c r="AO798" s="57"/>
    </row>
    <row r="799" spans="14:41">
      <c r="N799" s="30"/>
      <c r="U799" s="31"/>
      <c r="AC799" s="31"/>
      <c r="AN799" s="32"/>
      <c r="AO799" s="57"/>
    </row>
    <row r="800" spans="14:41">
      <c r="N800" s="30"/>
      <c r="U800" s="31"/>
      <c r="AC800" s="31"/>
      <c r="AN800" s="32"/>
      <c r="AO800" s="57"/>
    </row>
    <row r="801" spans="14:41">
      <c r="N801" s="30"/>
      <c r="U801" s="31"/>
      <c r="AC801" s="31"/>
      <c r="AN801" s="32"/>
      <c r="AO801" s="57"/>
    </row>
    <row r="802" spans="14:41">
      <c r="N802" s="30"/>
      <c r="U802" s="31"/>
      <c r="AC802" s="31"/>
      <c r="AN802" s="32"/>
      <c r="AO802" s="57"/>
    </row>
    <row r="803" spans="14:41">
      <c r="N803" s="30"/>
      <c r="U803" s="31"/>
      <c r="AC803" s="31"/>
      <c r="AN803" s="32"/>
      <c r="AO803" s="57"/>
    </row>
    <row r="804" spans="14:41">
      <c r="N804" s="30"/>
      <c r="U804" s="31"/>
      <c r="AC804" s="31"/>
      <c r="AN804" s="32"/>
      <c r="AO804" s="57"/>
    </row>
    <row r="805" spans="14:41">
      <c r="N805" s="30"/>
      <c r="U805" s="31"/>
      <c r="AC805" s="31"/>
      <c r="AN805" s="32"/>
      <c r="AO805" s="57"/>
    </row>
    <row r="806" spans="14:41">
      <c r="N806" s="30"/>
      <c r="U806" s="31"/>
      <c r="AC806" s="31"/>
      <c r="AN806" s="32"/>
      <c r="AO806" s="57"/>
    </row>
    <row r="807" spans="14:41">
      <c r="N807" s="30"/>
      <c r="U807" s="31"/>
      <c r="AC807" s="31"/>
      <c r="AN807" s="32"/>
      <c r="AO807" s="57"/>
    </row>
    <row r="808" spans="14:41">
      <c r="N808" s="30"/>
      <c r="U808" s="31"/>
      <c r="AC808" s="31"/>
      <c r="AN808" s="32"/>
      <c r="AO808" s="57"/>
    </row>
    <row r="809" spans="14:41">
      <c r="N809" s="30"/>
      <c r="U809" s="31"/>
      <c r="AC809" s="31"/>
      <c r="AN809" s="32"/>
      <c r="AO809" s="57"/>
    </row>
    <row r="810" spans="14:41">
      <c r="N810" s="30"/>
      <c r="U810" s="31"/>
      <c r="AC810" s="31"/>
      <c r="AN810" s="32"/>
      <c r="AO810" s="57"/>
    </row>
    <row r="811" spans="14:41">
      <c r="N811" s="30"/>
      <c r="U811" s="31"/>
      <c r="AC811" s="31"/>
      <c r="AN811" s="32"/>
      <c r="AO811" s="57"/>
    </row>
    <row r="812" spans="14:41">
      <c r="N812" s="30"/>
      <c r="U812" s="31"/>
      <c r="AC812" s="31"/>
      <c r="AN812" s="32"/>
      <c r="AO812" s="57"/>
    </row>
    <row r="813" spans="14:41">
      <c r="N813" s="30"/>
      <c r="U813" s="31"/>
      <c r="AC813" s="31"/>
      <c r="AN813" s="32"/>
      <c r="AO813" s="57"/>
    </row>
    <row r="814" spans="14:41">
      <c r="N814" s="30"/>
      <c r="U814" s="31"/>
      <c r="AC814" s="31"/>
      <c r="AN814" s="32"/>
      <c r="AO814" s="57"/>
    </row>
    <row r="815" spans="14:41">
      <c r="N815" s="30"/>
      <c r="U815" s="31"/>
      <c r="AC815" s="31"/>
      <c r="AN815" s="32"/>
      <c r="AO815" s="57"/>
    </row>
    <row r="816" spans="14:41">
      <c r="N816" s="30"/>
      <c r="U816" s="31"/>
      <c r="AC816" s="31"/>
      <c r="AN816" s="32"/>
      <c r="AO816" s="57"/>
    </row>
    <row r="817" spans="14:41">
      <c r="N817" s="30"/>
      <c r="U817" s="31"/>
      <c r="AC817" s="31"/>
      <c r="AN817" s="32"/>
      <c r="AO817" s="57"/>
    </row>
    <row r="818" spans="14:41">
      <c r="N818" s="30"/>
      <c r="U818" s="31"/>
      <c r="AC818" s="31"/>
      <c r="AN818" s="32"/>
      <c r="AO818" s="57"/>
    </row>
    <row r="819" spans="14:41">
      <c r="N819" s="30"/>
      <c r="U819" s="31"/>
      <c r="AC819" s="31"/>
      <c r="AN819" s="32"/>
      <c r="AO819" s="57"/>
    </row>
    <row r="820" spans="14:41">
      <c r="N820" s="30"/>
      <c r="U820" s="31"/>
      <c r="AC820" s="31"/>
      <c r="AN820" s="32"/>
      <c r="AO820" s="57"/>
    </row>
    <row r="821" spans="14:41">
      <c r="N821" s="30"/>
      <c r="U821" s="31"/>
      <c r="AC821" s="31"/>
      <c r="AN821" s="32"/>
      <c r="AO821" s="57"/>
    </row>
    <row r="822" spans="14:41">
      <c r="N822" s="30"/>
      <c r="U822" s="31"/>
      <c r="AC822" s="31"/>
      <c r="AN822" s="32"/>
      <c r="AO822" s="57"/>
    </row>
    <row r="823" spans="14:41">
      <c r="N823" s="30"/>
      <c r="U823" s="31"/>
      <c r="AC823" s="31"/>
      <c r="AN823" s="32"/>
      <c r="AO823" s="57"/>
    </row>
    <row r="824" spans="14:41">
      <c r="N824" s="30"/>
      <c r="U824" s="31"/>
      <c r="AC824" s="31"/>
      <c r="AN824" s="32"/>
      <c r="AO824" s="57"/>
    </row>
    <row r="825" spans="14:41">
      <c r="N825" s="30"/>
      <c r="U825" s="31"/>
      <c r="AC825" s="31"/>
      <c r="AN825" s="32"/>
      <c r="AO825" s="57"/>
    </row>
    <row r="826" spans="14:41">
      <c r="N826" s="30"/>
      <c r="U826" s="31"/>
      <c r="AC826" s="31"/>
      <c r="AN826" s="32"/>
      <c r="AO826" s="57"/>
    </row>
    <row r="827" spans="14:41">
      <c r="N827" s="30"/>
      <c r="U827" s="31"/>
      <c r="AC827" s="31"/>
      <c r="AN827" s="32"/>
      <c r="AO827" s="57"/>
    </row>
    <row r="828" spans="14:41">
      <c r="N828" s="30"/>
      <c r="U828" s="31"/>
      <c r="AC828" s="31"/>
      <c r="AN828" s="32"/>
      <c r="AO828" s="57"/>
    </row>
    <row r="829" spans="14:41">
      <c r="N829" s="30"/>
      <c r="U829" s="31"/>
      <c r="AC829" s="31"/>
      <c r="AN829" s="32"/>
      <c r="AO829" s="57"/>
    </row>
    <row r="830" spans="14:41">
      <c r="N830" s="30"/>
      <c r="U830" s="31"/>
      <c r="AC830" s="31"/>
      <c r="AN830" s="32"/>
      <c r="AO830" s="57"/>
    </row>
    <row r="831" spans="14:41">
      <c r="N831" s="30"/>
      <c r="U831" s="31"/>
      <c r="AC831" s="31"/>
      <c r="AN831" s="32"/>
      <c r="AO831" s="57"/>
    </row>
    <row r="832" spans="14:41">
      <c r="N832" s="30"/>
      <c r="U832" s="31"/>
      <c r="AC832" s="31"/>
      <c r="AN832" s="32"/>
      <c r="AO832" s="57"/>
    </row>
    <row r="833" spans="14:41">
      <c r="N833" s="30"/>
      <c r="U833" s="31"/>
      <c r="AC833" s="31"/>
      <c r="AN833" s="32"/>
      <c r="AO833" s="57"/>
    </row>
    <row r="834" spans="14:41">
      <c r="N834" s="30"/>
      <c r="U834" s="31"/>
      <c r="AC834" s="31"/>
      <c r="AN834" s="32"/>
      <c r="AO834" s="57"/>
    </row>
    <row r="835" spans="14:41">
      <c r="N835" s="30"/>
      <c r="U835" s="31"/>
      <c r="AC835" s="31"/>
      <c r="AN835" s="32"/>
      <c r="AO835" s="57"/>
    </row>
    <row r="836" spans="14:41">
      <c r="N836" s="30"/>
      <c r="U836" s="31"/>
      <c r="AC836" s="31"/>
      <c r="AN836" s="32"/>
      <c r="AO836" s="57"/>
    </row>
    <row r="837" spans="14:41">
      <c r="N837" s="30"/>
      <c r="U837" s="31"/>
      <c r="AC837" s="31"/>
      <c r="AN837" s="32"/>
      <c r="AO837" s="57"/>
    </row>
    <row r="838" spans="14:41">
      <c r="N838" s="30"/>
      <c r="U838" s="31"/>
      <c r="AC838" s="31"/>
      <c r="AN838" s="32"/>
      <c r="AO838" s="57"/>
    </row>
    <row r="839" spans="14:41">
      <c r="N839" s="30"/>
      <c r="U839" s="31"/>
      <c r="AC839" s="31"/>
      <c r="AN839" s="32"/>
      <c r="AO839" s="57"/>
    </row>
    <row r="840" spans="14:41">
      <c r="N840" s="30"/>
      <c r="U840" s="31"/>
      <c r="AC840" s="31"/>
      <c r="AN840" s="32"/>
      <c r="AO840" s="57"/>
    </row>
    <row r="841" spans="14:41">
      <c r="N841" s="30"/>
      <c r="U841" s="31"/>
      <c r="AC841" s="31"/>
      <c r="AN841" s="32"/>
      <c r="AO841" s="57"/>
    </row>
    <row r="842" spans="14:41">
      <c r="N842" s="30"/>
      <c r="U842" s="31"/>
      <c r="AC842" s="31"/>
      <c r="AN842" s="32"/>
      <c r="AO842" s="57"/>
    </row>
    <row r="843" spans="14:41">
      <c r="N843" s="30"/>
      <c r="U843" s="31"/>
      <c r="AC843" s="31"/>
      <c r="AN843" s="32"/>
      <c r="AO843" s="57"/>
    </row>
    <row r="844" spans="14:41">
      <c r="N844" s="30"/>
      <c r="U844" s="31"/>
      <c r="AC844" s="31"/>
      <c r="AN844" s="32"/>
      <c r="AO844" s="57"/>
    </row>
    <row r="845" spans="14:41">
      <c r="N845" s="30"/>
      <c r="U845" s="31"/>
      <c r="AC845" s="31"/>
      <c r="AN845" s="32"/>
      <c r="AO845" s="57"/>
    </row>
    <row r="846" spans="14:41">
      <c r="N846" s="30"/>
      <c r="U846" s="31"/>
      <c r="AC846" s="31"/>
      <c r="AN846" s="32"/>
      <c r="AO846" s="57"/>
    </row>
    <row r="847" spans="14:41">
      <c r="N847" s="30"/>
      <c r="U847" s="31"/>
      <c r="AC847" s="31"/>
      <c r="AN847" s="32"/>
      <c r="AO847" s="57"/>
    </row>
    <row r="848" spans="14:41">
      <c r="N848" s="30"/>
      <c r="U848" s="31"/>
      <c r="AC848" s="31"/>
      <c r="AN848" s="32"/>
      <c r="AO848" s="57"/>
    </row>
    <row r="849" spans="14:41">
      <c r="N849" s="30"/>
      <c r="U849" s="31"/>
      <c r="AC849" s="31"/>
      <c r="AN849" s="32"/>
      <c r="AO849" s="57"/>
    </row>
    <row r="850" spans="14:41">
      <c r="N850" s="30"/>
      <c r="U850" s="31"/>
      <c r="AC850" s="31"/>
      <c r="AN850" s="32"/>
      <c r="AO850" s="57"/>
    </row>
    <row r="851" spans="14:41">
      <c r="N851" s="30"/>
      <c r="U851" s="31"/>
      <c r="AC851" s="31"/>
      <c r="AN851" s="32"/>
      <c r="AO851" s="57"/>
    </row>
    <row r="852" spans="14:41">
      <c r="N852" s="30"/>
      <c r="U852" s="31"/>
      <c r="AC852" s="31"/>
      <c r="AN852" s="32"/>
      <c r="AO852" s="57"/>
    </row>
    <row r="853" spans="14:41">
      <c r="N853" s="30"/>
      <c r="U853" s="31"/>
      <c r="AC853" s="31"/>
      <c r="AN853" s="32"/>
      <c r="AO853" s="57"/>
    </row>
    <row r="854" spans="14:41">
      <c r="N854" s="30"/>
      <c r="U854" s="31"/>
      <c r="AC854" s="31"/>
      <c r="AN854" s="32"/>
      <c r="AO854" s="57"/>
    </row>
    <row r="855" spans="14:41">
      <c r="N855" s="30"/>
      <c r="U855" s="31"/>
      <c r="AC855" s="31"/>
      <c r="AN855" s="32"/>
      <c r="AO855" s="57"/>
    </row>
    <row r="856" spans="14:41">
      <c r="N856" s="30"/>
      <c r="U856" s="31"/>
      <c r="AC856" s="31"/>
      <c r="AN856" s="32"/>
      <c r="AO856" s="57"/>
    </row>
    <row r="857" spans="14:41">
      <c r="N857" s="30"/>
      <c r="U857" s="31"/>
      <c r="AC857" s="31"/>
      <c r="AN857" s="32"/>
      <c r="AO857" s="57"/>
    </row>
    <row r="858" spans="14:41">
      <c r="N858" s="30"/>
      <c r="U858" s="31"/>
      <c r="AC858" s="31"/>
      <c r="AN858" s="32"/>
      <c r="AO858" s="57"/>
    </row>
    <row r="859" spans="14:41">
      <c r="N859" s="30"/>
      <c r="U859" s="31"/>
      <c r="AC859" s="31"/>
      <c r="AN859" s="32"/>
      <c r="AO859" s="57"/>
    </row>
    <row r="860" spans="14:41">
      <c r="N860" s="30"/>
      <c r="U860" s="31"/>
      <c r="AC860" s="31"/>
      <c r="AN860" s="32"/>
      <c r="AO860" s="57"/>
    </row>
    <row r="861" spans="14:41">
      <c r="N861" s="30"/>
      <c r="U861" s="31"/>
      <c r="AC861" s="31"/>
      <c r="AN861" s="32"/>
      <c r="AO861" s="57"/>
    </row>
    <row r="862" spans="14:41">
      <c r="N862" s="30"/>
      <c r="U862" s="31"/>
      <c r="AC862" s="31"/>
      <c r="AN862" s="32"/>
      <c r="AO862" s="57"/>
    </row>
    <row r="863" spans="14:41">
      <c r="N863" s="30"/>
      <c r="U863" s="31"/>
      <c r="AC863" s="31"/>
      <c r="AN863" s="32"/>
      <c r="AO863" s="57"/>
    </row>
    <row r="864" spans="14:41">
      <c r="N864" s="30"/>
      <c r="U864" s="31"/>
      <c r="AC864" s="31"/>
      <c r="AN864" s="32"/>
      <c r="AO864" s="57"/>
    </row>
    <row r="865" spans="14:41">
      <c r="N865" s="30"/>
      <c r="U865" s="31"/>
      <c r="AC865" s="31"/>
      <c r="AN865" s="32"/>
      <c r="AO865" s="57"/>
    </row>
    <row r="866" spans="14:41">
      <c r="N866" s="30"/>
      <c r="U866" s="31"/>
      <c r="AC866" s="31"/>
      <c r="AN866" s="32"/>
      <c r="AO866" s="57"/>
    </row>
    <row r="867" spans="14:41">
      <c r="N867" s="30"/>
      <c r="U867" s="31"/>
      <c r="AC867" s="31"/>
      <c r="AN867" s="32"/>
      <c r="AO867" s="57"/>
    </row>
    <row r="868" spans="14:41">
      <c r="N868" s="30"/>
      <c r="U868" s="31"/>
      <c r="AC868" s="31"/>
      <c r="AN868" s="32"/>
      <c r="AO868" s="57"/>
    </row>
    <row r="869" spans="14:41">
      <c r="N869" s="30"/>
      <c r="U869" s="31"/>
      <c r="AC869" s="31"/>
      <c r="AN869" s="32"/>
      <c r="AO869" s="57"/>
    </row>
    <row r="870" spans="14:41">
      <c r="N870" s="30"/>
      <c r="U870" s="31"/>
      <c r="AC870" s="31"/>
      <c r="AN870" s="32"/>
      <c r="AO870" s="57"/>
    </row>
    <row r="871" spans="14:41">
      <c r="N871" s="30"/>
      <c r="U871" s="31"/>
      <c r="AC871" s="31"/>
      <c r="AN871" s="32"/>
      <c r="AO871" s="57"/>
    </row>
    <row r="872" spans="14:41">
      <c r="N872" s="30"/>
      <c r="U872" s="31"/>
      <c r="AC872" s="31"/>
      <c r="AN872" s="32"/>
      <c r="AO872" s="57"/>
    </row>
    <row r="873" spans="14:41">
      <c r="N873" s="30"/>
      <c r="U873" s="31"/>
      <c r="AC873" s="31"/>
      <c r="AN873" s="32"/>
      <c r="AO873" s="57"/>
    </row>
    <row r="874" spans="14:41">
      <c r="N874" s="30"/>
      <c r="U874" s="31"/>
      <c r="AC874" s="31"/>
      <c r="AN874" s="32"/>
      <c r="AO874" s="57"/>
    </row>
    <row r="875" spans="14:41">
      <c r="N875" s="30"/>
      <c r="U875" s="31"/>
      <c r="AC875" s="31"/>
      <c r="AN875" s="32"/>
      <c r="AO875" s="57"/>
    </row>
    <row r="876" spans="14:41">
      <c r="N876" s="30"/>
      <c r="U876" s="31"/>
      <c r="AC876" s="31"/>
      <c r="AN876" s="32"/>
      <c r="AO876" s="57"/>
    </row>
    <row r="877" spans="14:41">
      <c r="N877" s="30"/>
      <c r="U877" s="31"/>
      <c r="AC877" s="31"/>
      <c r="AN877" s="32"/>
      <c r="AO877" s="57"/>
    </row>
    <row r="878" spans="14:41">
      <c r="N878" s="30"/>
      <c r="U878" s="31"/>
      <c r="AC878" s="31"/>
      <c r="AN878" s="32"/>
      <c r="AO878" s="57"/>
    </row>
    <row r="879" spans="14:41">
      <c r="N879" s="30"/>
      <c r="U879" s="31"/>
      <c r="AC879" s="31"/>
      <c r="AN879" s="32"/>
      <c r="AO879" s="57"/>
    </row>
    <row r="880" spans="14:41">
      <c r="N880" s="30"/>
      <c r="U880" s="31"/>
      <c r="AC880" s="31"/>
      <c r="AN880" s="32"/>
      <c r="AO880" s="57"/>
    </row>
    <row r="881" spans="14:41">
      <c r="N881" s="30"/>
      <c r="U881" s="31"/>
      <c r="AC881" s="31"/>
      <c r="AN881" s="32"/>
      <c r="AO881" s="57"/>
    </row>
    <row r="882" spans="14:41">
      <c r="N882" s="30"/>
      <c r="U882" s="31"/>
      <c r="AC882" s="31"/>
      <c r="AN882" s="32"/>
      <c r="AO882" s="57"/>
    </row>
    <row r="883" spans="14:41">
      <c r="N883" s="30"/>
      <c r="U883" s="31"/>
      <c r="AC883" s="31"/>
      <c r="AN883" s="32"/>
      <c r="AO883" s="57"/>
    </row>
    <row r="884" spans="14:41">
      <c r="N884" s="30"/>
      <c r="U884" s="31"/>
      <c r="AC884" s="31"/>
      <c r="AN884" s="32"/>
      <c r="AO884" s="57"/>
    </row>
    <row r="885" spans="14:41">
      <c r="N885" s="30"/>
      <c r="U885" s="31"/>
      <c r="AC885" s="31"/>
      <c r="AN885" s="32"/>
      <c r="AO885" s="57"/>
    </row>
    <row r="886" spans="14:41">
      <c r="N886" s="30"/>
      <c r="U886" s="31"/>
      <c r="AC886" s="31"/>
      <c r="AN886" s="32"/>
      <c r="AO886" s="57"/>
    </row>
    <row r="887" spans="14:41">
      <c r="N887" s="30"/>
      <c r="U887" s="31"/>
      <c r="AC887" s="31"/>
      <c r="AN887" s="32"/>
      <c r="AO887" s="57"/>
    </row>
    <row r="888" spans="14:41">
      <c r="N888" s="30"/>
      <c r="U888" s="31"/>
      <c r="AC888" s="31"/>
      <c r="AN888" s="32"/>
      <c r="AO888" s="57"/>
    </row>
    <row r="889" spans="14:41">
      <c r="N889" s="30"/>
      <c r="U889" s="31"/>
      <c r="AC889" s="31"/>
      <c r="AN889" s="32"/>
      <c r="AO889" s="57"/>
    </row>
    <row r="890" spans="14:41">
      <c r="N890" s="30"/>
      <c r="U890" s="31"/>
      <c r="AC890" s="31"/>
      <c r="AN890" s="32"/>
      <c r="AO890" s="57"/>
    </row>
    <row r="891" spans="14:41">
      <c r="N891" s="30"/>
      <c r="U891" s="31"/>
      <c r="AC891" s="31"/>
      <c r="AN891" s="32"/>
      <c r="AO891" s="57"/>
    </row>
    <row r="892" spans="14:41">
      <c r="N892" s="30"/>
      <c r="U892" s="31"/>
      <c r="AC892" s="31"/>
      <c r="AN892" s="32"/>
      <c r="AO892" s="57"/>
    </row>
    <row r="893" spans="14:41">
      <c r="N893" s="30"/>
      <c r="U893" s="31"/>
      <c r="AC893" s="31"/>
      <c r="AN893" s="32"/>
      <c r="AO893" s="57"/>
    </row>
    <row r="894" spans="14:41">
      <c r="N894" s="30"/>
      <c r="U894" s="31"/>
      <c r="AC894" s="31"/>
      <c r="AN894" s="32"/>
      <c r="AO894" s="57"/>
    </row>
    <row r="895" spans="14:41">
      <c r="N895" s="30"/>
      <c r="U895" s="31"/>
      <c r="AC895" s="31"/>
      <c r="AN895" s="32"/>
      <c r="AO895" s="57"/>
    </row>
    <row r="896" spans="14:41">
      <c r="N896" s="30"/>
      <c r="U896" s="31"/>
      <c r="AC896" s="31"/>
      <c r="AN896" s="32"/>
      <c r="AO896" s="57"/>
    </row>
    <row r="897" spans="14:41">
      <c r="N897" s="30"/>
      <c r="U897" s="31"/>
      <c r="AC897" s="31"/>
      <c r="AN897" s="32"/>
      <c r="AO897" s="57"/>
    </row>
    <row r="898" spans="14:41">
      <c r="N898" s="30"/>
      <c r="U898" s="31"/>
      <c r="AC898" s="31"/>
      <c r="AN898" s="32"/>
      <c r="AO898" s="57"/>
    </row>
    <row r="899" spans="14:41">
      <c r="N899" s="30"/>
      <c r="U899" s="31"/>
      <c r="AC899" s="31"/>
      <c r="AN899" s="32"/>
      <c r="AO899" s="57"/>
    </row>
    <row r="900" spans="14:41">
      <c r="N900" s="30"/>
      <c r="U900" s="31"/>
      <c r="AC900" s="31"/>
      <c r="AN900" s="32"/>
      <c r="AO900" s="57"/>
    </row>
    <row r="901" spans="14:41">
      <c r="N901" s="30"/>
      <c r="U901" s="31"/>
      <c r="AC901" s="31"/>
      <c r="AN901" s="32"/>
      <c r="AO901" s="57"/>
    </row>
    <row r="902" spans="14:41">
      <c r="N902" s="30"/>
      <c r="U902" s="31"/>
      <c r="AC902" s="31"/>
      <c r="AN902" s="32"/>
      <c r="AO902" s="57"/>
    </row>
    <row r="903" spans="14:41">
      <c r="N903" s="30"/>
      <c r="U903" s="31"/>
      <c r="AC903" s="31"/>
      <c r="AN903" s="32"/>
      <c r="AO903" s="57"/>
    </row>
    <row r="904" spans="14:41">
      <c r="N904" s="30"/>
      <c r="U904" s="31"/>
      <c r="AC904" s="31"/>
      <c r="AN904" s="32"/>
      <c r="AO904" s="57"/>
    </row>
    <row r="905" spans="14:41">
      <c r="N905" s="30"/>
      <c r="U905" s="31"/>
      <c r="AC905" s="31"/>
      <c r="AN905" s="32"/>
      <c r="AO905" s="57"/>
    </row>
    <row r="906" spans="14:41">
      <c r="N906" s="30"/>
      <c r="U906" s="31"/>
      <c r="AC906" s="31"/>
      <c r="AN906" s="32"/>
      <c r="AO906" s="57"/>
    </row>
    <row r="907" spans="14:41">
      <c r="N907" s="30"/>
      <c r="U907" s="31"/>
      <c r="AC907" s="31"/>
      <c r="AN907" s="32"/>
      <c r="AO907" s="57"/>
    </row>
    <row r="908" spans="14:41">
      <c r="N908" s="30"/>
      <c r="U908" s="31"/>
      <c r="AC908" s="31"/>
      <c r="AN908" s="32"/>
      <c r="AO908" s="57"/>
    </row>
    <row r="909" spans="14:41">
      <c r="N909" s="30"/>
      <c r="U909" s="31"/>
      <c r="AC909" s="31"/>
      <c r="AN909" s="32"/>
      <c r="AO909" s="57"/>
    </row>
    <row r="910" spans="14:41">
      <c r="N910" s="30"/>
      <c r="U910" s="31"/>
      <c r="AC910" s="31"/>
      <c r="AN910" s="32"/>
      <c r="AO910" s="57"/>
    </row>
    <row r="911" spans="14:41">
      <c r="N911" s="30"/>
      <c r="U911" s="31"/>
      <c r="AC911" s="31"/>
      <c r="AN911" s="32"/>
      <c r="AO911" s="57"/>
    </row>
    <row r="912" spans="14:41">
      <c r="N912" s="30"/>
      <c r="U912" s="31"/>
      <c r="AC912" s="31"/>
      <c r="AN912" s="32"/>
      <c r="AO912" s="57"/>
    </row>
    <row r="913" spans="14:41">
      <c r="N913" s="30"/>
      <c r="U913" s="31"/>
      <c r="AC913" s="31"/>
      <c r="AN913" s="32"/>
      <c r="AO913" s="57"/>
    </row>
    <row r="914" spans="14:41">
      <c r="N914" s="30"/>
      <c r="U914" s="31"/>
      <c r="AC914" s="31"/>
      <c r="AN914" s="32"/>
      <c r="AO914" s="57"/>
    </row>
    <row r="915" spans="14:41">
      <c r="N915" s="30"/>
      <c r="U915" s="31"/>
      <c r="AC915" s="31"/>
      <c r="AN915" s="32"/>
      <c r="AO915" s="57"/>
    </row>
    <row r="916" spans="14:41">
      <c r="N916" s="30"/>
      <c r="U916" s="31"/>
      <c r="AC916" s="31"/>
      <c r="AN916" s="32"/>
      <c r="AO916" s="57"/>
    </row>
    <row r="917" spans="14:41">
      <c r="N917" s="30"/>
      <c r="U917" s="31"/>
      <c r="AC917" s="31"/>
      <c r="AN917" s="32"/>
      <c r="AO917" s="57"/>
    </row>
    <row r="918" spans="14:41">
      <c r="N918" s="30"/>
      <c r="U918" s="31"/>
      <c r="AC918" s="31"/>
      <c r="AN918" s="32"/>
      <c r="AO918" s="57"/>
    </row>
    <row r="919" spans="14:41">
      <c r="N919" s="30"/>
      <c r="U919" s="31"/>
      <c r="AC919" s="31"/>
      <c r="AN919" s="32"/>
      <c r="AO919" s="57"/>
    </row>
    <row r="920" spans="14:41">
      <c r="N920" s="30"/>
      <c r="U920" s="31"/>
      <c r="AC920" s="31"/>
      <c r="AN920" s="32"/>
      <c r="AO920" s="57"/>
    </row>
    <row r="921" spans="14:41">
      <c r="N921" s="30"/>
      <c r="U921" s="31"/>
      <c r="AC921" s="31"/>
      <c r="AN921" s="32"/>
      <c r="AO921" s="57"/>
    </row>
    <row r="922" spans="14:41">
      <c r="N922" s="30"/>
      <c r="U922" s="31"/>
      <c r="AC922" s="31"/>
      <c r="AN922" s="32"/>
      <c r="AO922" s="57"/>
    </row>
    <row r="923" spans="14:41">
      <c r="N923" s="30"/>
      <c r="U923" s="31"/>
      <c r="AC923" s="31"/>
      <c r="AN923" s="32"/>
      <c r="AO923" s="57"/>
    </row>
    <row r="924" spans="14:41">
      <c r="N924" s="30"/>
      <c r="U924" s="31"/>
      <c r="AC924" s="31"/>
      <c r="AN924" s="32"/>
      <c r="AO924" s="57"/>
    </row>
    <row r="925" spans="14:41">
      <c r="N925" s="30"/>
      <c r="U925" s="31"/>
      <c r="AC925" s="31"/>
      <c r="AN925" s="32"/>
      <c r="AO925" s="57"/>
    </row>
    <row r="926" spans="14:41">
      <c r="N926" s="30"/>
      <c r="U926" s="31"/>
      <c r="AC926" s="31"/>
      <c r="AN926" s="32"/>
      <c r="AO926" s="57"/>
    </row>
    <row r="927" spans="14:41">
      <c r="N927" s="30"/>
      <c r="U927" s="31"/>
      <c r="AC927" s="31"/>
      <c r="AN927" s="32"/>
      <c r="AO927" s="57"/>
    </row>
    <row r="928" spans="14:41">
      <c r="N928" s="30"/>
      <c r="U928" s="31"/>
      <c r="AC928" s="31"/>
      <c r="AN928" s="32"/>
      <c r="AO928" s="57"/>
    </row>
    <row r="929" spans="14:41">
      <c r="N929" s="30"/>
      <c r="U929" s="31"/>
      <c r="AC929" s="31"/>
      <c r="AN929" s="32"/>
      <c r="AO929" s="57"/>
    </row>
    <row r="930" spans="14:41">
      <c r="N930" s="30"/>
      <c r="U930" s="31"/>
      <c r="AC930" s="31"/>
      <c r="AN930" s="32"/>
      <c r="AO930" s="57"/>
    </row>
    <row r="931" spans="14:41">
      <c r="N931" s="30"/>
      <c r="U931" s="31"/>
      <c r="AC931" s="31"/>
      <c r="AN931" s="32"/>
      <c r="AO931" s="57"/>
    </row>
    <row r="932" spans="14:41">
      <c r="N932" s="30"/>
      <c r="U932" s="31"/>
      <c r="AC932" s="31"/>
      <c r="AN932" s="32"/>
      <c r="AO932" s="57"/>
    </row>
    <row r="933" spans="14:41">
      <c r="N933" s="30"/>
      <c r="U933" s="31"/>
      <c r="AC933" s="31"/>
      <c r="AN933" s="32"/>
      <c r="AO933" s="57"/>
    </row>
    <row r="934" spans="14:41">
      <c r="N934" s="30"/>
      <c r="U934" s="31"/>
      <c r="AC934" s="31"/>
      <c r="AN934" s="32"/>
      <c r="AO934" s="57"/>
    </row>
    <row r="935" spans="14:41">
      <c r="N935" s="30"/>
      <c r="U935" s="31"/>
      <c r="AC935" s="31"/>
      <c r="AN935" s="32"/>
      <c r="AO935" s="57"/>
    </row>
    <row r="936" spans="14:41">
      <c r="N936" s="30"/>
      <c r="U936" s="31"/>
      <c r="AC936" s="31"/>
      <c r="AN936" s="32"/>
      <c r="AO936" s="57"/>
    </row>
    <row r="937" spans="14:41">
      <c r="N937" s="30"/>
      <c r="U937" s="31"/>
      <c r="AC937" s="31"/>
      <c r="AN937" s="32"/>
      <c r="AO937" s="57"/>
    </row>
    <row r="938" spans="14:41">
      <c r="N938" s="30"/>
      <c r="U938" s="31"/>
      <c r="AC938" s="31"/>
      <c r="AN938" s="32"/>
      <c r="AO938" s="57"/>
    </row>
    <row r="939" spans="14:41">
      <c r="N939" s="30"/>
      <c r="U939" s="31"/>
      <c r="AC939" s="31"/>
      <c r="AN939" s="32"/>
      <c r="AO939" s="57"/>
    </row>
    <row r="940" spans="14:41">
      <c r="N940" s="30"/>
      <c r="U940" s="31"/>
      <c r="AC940" s="31"/>
      <c r="AN940" s="32"/>
      <c r="AO940" s="57"/>
    </row>
    <row r="941" spans="14:41">
      <c r="N941" s="30"/>
      <c r="U941" s="31"/>
      <c r="AC941" s="31"/>
      <c r="AN941" s="32"/>
      <c r="AO941" s="57"/>
    </row>
    <row r="942" spans="14:41">
      <c r="N942" s="30"/>
      <c r="U942" s="31"/>
      <c r="AC942" s="31"/>
      <c r="AN942" s="32"/>
      <c r="AO942" s="57"/>
    </row>
    <row r="943" spans="14:41">
      <c r="N943" s="30"/>
      <c r="U943" s="31"/>
      <c r="AC943" s="31"/>
      <c r="AN943" s="32"/>
      <c r="AO943" s="57"/>
    </row>
    <row r="944" spans="14:41">
      <c r="N944" s="30"/>
      <c r="U944" s="31"/>
      <c r="AC944" s="31"/>
      <c r="AN944" s="32"/>
      <c r="AO944" s="57"/>
    </row>
    <row r="945" spans="14:41">
      <c r="N945" s="30"/>
      <c r="U945" s="31"/>
      <c r="AC945" s="31"/>
      <c r="AN945" s="32"/>
      <c r="AO945" s="57"/>
    </row>
    <row r="946" spans="14:41">
      <c r="N946" s="30"/>
      <c r="U946" s="31"/>
      <c r="AC946" s="31"/>
      <c r="AN946" s="32"/>
      <c r="AO946" s="57"/>
    </row>
    <row r="947" spans="14:41">
      <c r="N947" s="30"/>
      <c r="U947" s="31"/>
      <c r="AC947" s="31"/>
      <c r="AN947" s="32"/>
      <c r="AO947" s="57"/>
    </row>
    <row r="948" spans="14:41">
      <c r="N948" s="30"/>
      <c r="U948" s="31"/>
      <c r="AC948" s="31"/>
      <c r="AN948" s="32"/>
      <c r="AO948" s="57"/>
    </row>
    <row r="949" spans="14:41">
      <c r="N949" s="30"/>
      <c r="U949" s="31"/>
      <c r="AC949" s="31"/>
      <c r="AN949" s="32"/>
      <c r="AO949" s="57"/>
    </row>
    <row r="950" spans="14:41">
      <c r="N950" s="30"/>
      <c r="U950" s="31"/>
      <c r="AC950" s="31"/>
      <c r="AN950" s="32"/>
      <c r="AO950" s="57"/>
    </row>
    <row r="951" spans="14:41">
      <c r="N951" s="30"/>
      <c r="U951" s="31"/>
      <c r="AC951" s="31"/>
      <c r="AN951" s="32"/>
      <c r="AO951" s="57"/>
    </row>
    <row r="952" spans="14:41">
      <c r="N952" s="30"/>
      <c r="U952" s="31"/>
      <c r="AC952" s="31"/>
      <c r="AN952" s="32"/>
      <c r="AO952" s="57"/>
    </row>
    <row r="953" spans="14:41">
      <c r="N953" s="30"/>
      <c r="U953" s="31"/>
      <c r="AC953" s="31"/>
      <c r="AN953" s="32"/>
      <c r="AO953" s="57"/>
    </row>
    <row r="954" spans="14:41">
      <c r="N954" s="30"/>
      <c r="U954" s="31"/>
      <c r="AC954" s="31"/>
      <c r="AN954" s="32"/>
      <c r="AO954" s="57"/>
    </row>
    <row r="955" spans="14:41">
      <c r="N955" s="30"/>
      <c r="U955" s="31"/>
      <c r="AC955" s="31"/>
      <c r="AN955" s="32"/>
      <c r="AO955" s="57"/>
    </row>
    <row r="956" spans="14:41">
      <c r="N956" s="30"/>
      <c r="U956" s="31"/>
      <c r="AC956" s="31"/>
      <c r="AN956" s="32"/>
      <c r="AO956" s="57"/>
    </row>
    <row r="957" spans="14:41">
      <c r="N957" s="30"/>
      <c r="U957" s="31"/>
      <c r="AC957" s="31"/>
      <c r="AN957" s="32"/>
      <c r="AO957" s="57"/>
    </row>
    <row r="958" spans="14:41">
      <c r="N958" s="30"/>
      <c r="U958" s="31"/>
      <c r="AC958" s="31"/>
      <c r="AN958" s="32"/>
      <c r="AO958" s="57"/>
    </row>
    <row r="959" spans="14:41">
      <c r="N959" s="30"/>
      <c r="U959" s="31"/>
      <c r="AC959" s="31"/>
      <c r="AN959" s="32"/>
      <c r="AO959" s="57"/>
    </row>
    <row r="960" spans="14:41">
      <c r="N960" s="30"/>
      <c r="U960" s="31"/>
      <c r="AC960" s="31"/>
      <c r="AN960" s="32"/>
      <c r="AO960" s="57"/>
    </row>
    <row r="961" spans="14:41">
      <c r="N961" s="30"/>
      <c r="U961" s="31"/>
      <c r="AC961" s="31"/>
      <c r="AN961" s="32"/>
      <c r="AO961" s="57"/>
    </row>
    <row r="962" spans="14:41">
      <c r="N962" s="30"/>
      <c r="U962" s="31"/>
      <c r="AC962" s="31"/>
      <c r="AN962" s="32"/>
      <c r="AO962" s="57"/>
    </row>
    <row r="963" spans="14:41">
      <c r="N963" s="30"/>
      <c r="U963" s="31"/>
      <c r="AC963" s="31"/>
      <c r="AN963" s="32"/>
      <c r="AO963" s="57"/>
    </row>
    <row r="964" spans="14:41">
      <c r="N964" s="30"/>
      <c r="U964" s="31"/>
      <c r="AC964" s="31"/>
      <c r="AN964" s="32"/>
      <c r="AO964" s="57"/>
    </row>
    <row r="965" spans="14:41">
      <c r="N965" s="30"/>
      <c r="U965" s="31"/>
      <c r="AC965" s="31"/>
      <c r="AN965" s="32"/>
      <c r="AO965" s="57"/>
    </row>
    <row r="966" spans="14:41">
      <c r="N966" s="30"/>
      <c r="U966" s="31"/>
      <c r="AC966" s="31"/>
      <c r="AN966" s="32"/>
      <c r="AO966" s="57"/>
    </row>
    <row r="967" spans="14:41">
      <c r="N967" s="30"/>
      <c r="U967" s="31"/>
      <c r="AC967" s="31"/>
      <c r="AN967" s="32"/>
      <c r="AO967" s="57"/>
    </row>
    <row r="968" spans="14:41">
      <c r="N968" s="30"/>
      <c r="U968" s="31"/>
      <c r="AC968" s="31"/>
      <c r="AN968" s="32"/>
      <c r="AO968" s="57"/>
    </row>
    <row r="969" spans="14:41">
      <c r="N969" s="30"/>
      <c r="U969" s="31"/>
      <c r="AC969" s="31"/>
      <c r="AN969" s="32"/>
      <c r="AO969" s="57"/>
    </row>
    <row r="970" spans="14:41">
      <c r="N970" s="30"/>
      <c r="U970" s="31"/>
      <c r="AC970" s="31"/>
      <c r="AN970" s="32"/>
      <c r="AO970" s="57"/>
    </row>
    <row r="971" spans="14:41">
      <c r="N971" s="30"/>
      <c r="U971" s="31"/>
      <c r="AC971" s="31"/>
      <c r="AN971" s="32"/>
      <c r="AO971" s="57"/>
    </row>
    <row r="972" spans="14:41">
      <c r="N972" s="30"/>
      <c r="U972" s="31"/>
      <c r="AC972" s="31"/>
      <c r="AN972" s="32"/>
      <c r="AO972" s="57"/>
    </row>
    <row r="973" spans="14:41">
      <c r="N973" s="30"/>
      <c r="U973" s="31"/>
      <c r="AC973" s="31"/>
      <c r="AN973" s="32"/>
      <c r="AO973" s="57"/>
    </row>
    <row r="974" spans="14:41">
      <c r="N974" s="30"/>
      <c r="U974" s="31"/>
      <c r="AC974" s="31"/>
      <c r="AN974" s="32"/>
      <c r="AO974" s="57"/>
    </row>
    <row r="975" spans="14:41">
      <c r="N975" s="30"/>
      <c r="U975" s="31"/>
      <c r="AC975" s="31"/>
      <c r="AN975" s="32"/>
      <c r="AO975" s="57"/>
    </row>
    <row r="976" spans="14:41">
      <c r="N976" s="30"/>
      <c r="U976" s="31"/>
      <c r="AC976" s="31"/>
      <c r="AN976" s="32"/>
      <c r="AO976" s="57"/>
    </row>
    <row r="977" spans="14:41">
      <c r="N977" s="30"/>
      <c r="U977" s="31"/>
      <c r="AC977" s="31"/>
      <c r="AN977" s="32"/>
      <c r="AO977" s="57"/>
    </row>
    <row r="978" spans="14:41">
      <c r="N978" s="30"/>
      <c r="U978" s="31"/>
      <c r="AC978" s="31"/>
      <c r="AN978" s="32"/>
      <c r="AO978" s="57"/>
    </row>
    <row r="979" spans="14:41">
      <c r="N979" s="30"/>
      <c r="U979" s="31"/>
      <c r="AC979" s="31"/>
      <c r="AN979" s="32"/>
      <c r="AO979" s="57"/>
    </row>
    <row r="980" spans="14:41">
      <c r="N980" s="30"/>
      <c r="U980" s="31"/>
      <c r="AC980" s="31"/>
      <c r="AN980" s="32"/>
      <c r="AO980" s="57"/>
    </row>
    <row r="981" spans="14:41">
      <c r="N981" s="30"/>
      <c r="U981" s="31"/>
      <c r="AC981" s="31"/>
      <c r="AN981" s="32"/>
      <c r="AO981" s="57"/>
    </row>
    <row r="982" spans="14:41">
      <c r="N982" s="30"/>
      <c r="U982" s="31"/>
      <c r="AC982" s="31"/>
      <c r="AN982" s="32"/>
      <c r="AO982" s="57"/>
    </row>
    <row r="983" spans="14:41">
      <c r="N983" s="30"/>
      <c r="U983" s="31"/>
      <c r="AC983" s="31"/>
      <c r="AN983" s="32"/>
      <c r="AO983" s="57"/>
    </row>
    <row r="984" spans="14:41">
      <c r="N984" s="30"/>
      <c r="U984" s="31"/>
      <c r="AC984" s="31"/>
      <c r="AN984" s="32"/>
      <c r="AO984" s="57"/>
    </row>
    <row r="985" spans="14:41">
      <c r="N985" s="30"/>
      <c r="U985" s="31"/>
      <c r="AC985" s="31"/>
      <c r="AN985" s="32"/>
      <c r="AO985" s="57"/>
    </row>
    <row r="986" spans="14:41">
      <c r="N986" s="30"/>
      <c r="U986" s="31"/>
      <c r="AC986" s="31"/>
      <c r="AN986" s="32"/>
      <c r="AO986" s="57"/>
    </row>
    <row r="987" spans="14:41">
      <c r="N987" s="30"/>
      <c r="U987" s="31"/>
      <c r="AC987" s="31"/>
      <c r="AN987" s="32"/>
      <c r="AO987" s="57"/>
    </row>
    <row r="988" spans="14:41">
      <c r="N988" s="30"/>
      <c r="U988" s="31"/>
      <c r="AC988" s="31"/>
      <c r="AN988" s="32"/>
      <c r="AO988" s="57"/>
    </row>
    <row r="989" spans="14:41">
      <c r="N989" s="30"/>
      <c r="U989" s="31"/>
      <c r="AC989" s="31"/>
      <c r="AN989" s="32"/>
      <c r="AO989" s="57"/>
    </row>
    <row r="990" spans="14:41">
      <c r="N990" s="30"/>
      <c r="U990" s="31"/>
      <c r="AC990" s="31"/>
      <c r="AN990" s="32"/>
      <c r="AO990" s="57"/>
    </row>
    <row r="991" spans="14:41">
      <c r="N991" s="30"/>
      <c r="U991" s="31"/>
      <c r="AC991" s="31"/>
      <c r="AN991" s="32"/>
      <c r="AO991" s="57"/>
    </row>
    <row r="992" spans="14:41">
      <c r="N992" s="30"/>
      <c r="U992" s="31"/>
      <c r="AC992" s="31"/>
      <c r="AN992" s="32"/>
      <c r="AO992" s="57"/>
    </row>
    <row r="993" spans="14:41">
      <c r="N993" s="30"/>
      <c r="U993" s="31"/>
      <c r="AC993" s="31"/>
      <c r="AN993" s="32"/>
      <c r="AO993" s="57"/>
    </row>
    <row r="994" spans="14:41">
      <c r="N994" s="30"/>
      <c r="U994" s="31"/>
      <c r="AC994" s="31"/>
      <c r="AN994" s="32"/>
      <c r="AO994" s="57"/>
    </row>
    <row r="995" spans="14:41">
      <c r="N995" s="30"/>
      <c r="U995" s="31"/>
      <c r="AC995" s="31"/>
      <c r="AN995" s="32"/>
      <c r="AO995" s="57"/>
    </row>
    <row r="996" spans="14:41">
      <c r="N996" s="30"/>
      <c r="U996" s="31"/>
      <c r="AC996" s="31"/>
      <c r="AN996" s="32"/>
      <c r="AO996" s="57"/>
    </row>
    <row r="997" spans="14:41">
      <c r="N997" s="30"/>
      <c r="U997" s="31"/>
      <c r="AC997" s="31"/>
      <c r="AN997" s="32"/>
      <c r="AO997" s="57"/>
    </row>
    <row r="998" spans="14:41">
      <c r="N998" s="30"/>
      <c r="U998" s="31"/>
      <c r="AC998" s="31"/>
      <c r="AN998" s="32"/>
      <c r="AO998" s="57"/>
    </row>
    <row r="999" spans="14:41">
      <c r="N999" s="30"/>
      <c r="U999" s="31"/>
      <c r="AC999" s="31"/>
      <c r="AN999" s="32"/>
      <c r="AO999" s="57"/>
    </row>
    <row r="1000" spans="14:41">
      <c r="N1000" s="30"/>
      <c r="U1000" s="31"/>
      <c r="AC1000" s="31"/>
      <c r="AN1000" s="32"/>
      <c r="AO1000" s="5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1000"/>
  <sheetViews>
    <sheetView workbookViewId="0">
      <pane xSplit="6" ySplit="1" topLeftCell="G5" activePane="bottomRight" state="frozen"/>
      <selection pane="topRight" activeCell="G1" sqref="G1"/>
      <selection pane="bottomLeft" activeCell="A2" sqref="A2"/>
      <selection pane="bottomRight" activeCell="AD29" sqref="AD29"/>
    </sheetView>
    <sheetView workbookViewId="1"/>
  </sheetViews>
  <sheetFormatPr defaultColWidth="14.42578125" defaultRowHeight="15.75" customHeight="1"/>
  <cols>
    <col min="1" max="1" width="5" customWidth="1"/>
    <col min="2" max="2" width="9.5703125" customWidth="1"/>
    <col min="3" max="3" width="6.28515625" customWidth="1"/>
    <col min="5" max="5" width="25.140625" customWidth="1"/>
    <col min="6" max="6" width="9.5703125" customWidth="1"/>
    <col min="7" max="7" width="5.28515625" customWidth="1"/>
    <col min="8" max="8" width="6.28515625" customWidth="1"/>
    <col min="9" max="9" width="6.5703125" customWidth="1"/>
    <col min="10" max="10" width="7" customWidth="1"/>
    <col min="11" max="11" width="6.140625" customWidth="1"/>
    <col min="12" max="12" width="7.7109375" customWidth="1"/>
    <col min="13" max="13" width="7.140625" customWidth="1"/>
    <col min="14" max="14" width="6.5703125" customWidth="1"/>
    <col min="15" max="15" width="6.28515625" customWidth="1"/>
    <col min="16" max="16" width="7.85546875" customWidth="1"/>
    <col min="17" max="17" width="5.7109375" customWidth="1"/>
    <col min="18" max="18" width="6.5703125" customWidth="1"/>
    <col min="19" max="19" width="6.85546875" customWidth="1"/>
    <col min="20" max="20" width="6.5703125" customWidth="1"/>
    <col min="21" max="21" width="6.85546875" customWidth="1"/>
    <col min="22" max="28" width="6.28515625" customWidth="1"/>
    <col min="29" max="29" width="8" customWidth="1"/>
    <col min="30" max="30" width="7" customWidth="1"/>
    <col min="31" max="31" width="9" customWidth="1"/>
    <col min="32" max="33" width="6.85546875" customWidth="1"/>
    <col min="34" max="34" width="6" customWidth="1"/>
    <col min="35" max="35" width="6.7109375" customWidth="1"/>
    <col min="36" max="36" width="8.5703125" customWidth="1"/>
    <col min="37" max="37" width="5.140625" customWidth="1"/>
    <col min="38" max="38" width="11.85546875" customWidth="1"/>
    <col min="39" max="39" width="9" customWidth="1"/>
    <col min="40" max="40" width="34.5703125" customWidth="1"/>
    <col min="41" max="41" width="7.28515625" customWidth="1"/>
    <col min="42" max="42" width="8.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189</v>
      </c>
      <c r="E2" s="1" t="s">
        <v>193</v>
      </c>
      <c r="F2" s="45" t="s">
        <v>32</v>
      </c>
      <c r="G2" s="1">
        <v>2</v>
      </c>
      <c r="H2" s="1" t="s">
        <v>220</v>
      </c>
      <c r="I2" s="1" t="s">
        <v>183</v>
      </c>
      <c r="J2" s="1" t="s">
        <v>232</v>
      </c>
      <c r="K2" s="1" t="s">
        <v>177</v>
      </c>
      <c r="L2" s="1" t="s">
        <v>22</v>
      </c>
      <c r="M2" s="31"/>
      <c r="U2" s="31"/>
      <c r="AC2" s="31"/>
      <c r="AG2" s="1">
        <v>6</v>
      </c>
      <c r="AH2" s="1">
        <v>12</v>
      </c>
      <c r="AI2" s="1">
        <v>610</v>
      </c>
      <c r="AJ2" s="1" t="s">
        <v>180</v>
      </c>
      <c r="AK2" s="1">
        <v>14</v>
      </c>
      <c r="AN2" s="32"/>
      <c r="AO2" s="33" t="s">
        <v>189</v>
      </c>
      <c r="AP2" s="1">
        <v>1</v>
      </c>
    </row>
    <row r="3" spans="1:72">
      <c r="A3" s="1">
        <v>2</v>
      </c>
      <c r="B3" s="1" t="s">
        <v>174</v>
      </c>
      <c r="C3" s="1" t="s">
        <v>189</v>
      </c>
      <c r="E3" s="1" t="s">
        <v>192</v>
      </c>
      <c r="F3" s="45" t="s">
        <v>37</v>
      </c>
      <c r="G3" s="1">
        <v>2</v>
      </c>
      <c r="H3" s="1" t="s">
        <v>220</v>
      </c>
      <c r="I3" s="1" t="s">
        <v>183</v>
      </c>
      <c r="J3" s="1" t="s">
        <v>232</v>
      </c>
      <c r="K3" s="1" t="s">
        <v>186</v>
      </c>
      <c r="L3" s="1" t="s">
        <v>22</v>
      </c>
      <c r="M3" s="31"/>
      <c r="U3" s="31"/>
      <c r="AC3" s="31"/>
      <c r="AG3" s="35">
        <v>6</v>
      </c>
      <c r="AH3" s="35">
        <v>12</v>
      </c>
      <c r="AI3" s="1">
        <v>640</v>
      </c>
      <c r="AJ3" s="35" t="s">
        <v>180</v>
      </c>
      <c r="AK3" s="1">
        <v>21</v>
      </c>
      <c r="AN3" s="32"/>
      <c r="AO3" s="33" t="s">
        <v>189</v>
      </c>
      <c r="AP3" s="35">
        <v>1</v>
      </c>
    </row>
    <row r="4" spans="1:72">
      <c r="A4" s="36">
        <v>3</v>
      </c>
      <c r="B4" s="36" t="s">
        <v>174</v>
      </c>
      <c r="C4" s="36" t="s">
        <v>157</v>
      </c>
      <c r="D4" s="36">
        <v>178168889</v>
      </c>
      <c r="E4" s="36" t="s">
        <v>181</v>
      </c>
      <c r="F4" s="58" t="s">
        <v>115</v>
      </c>
      <c r="G4" s="36">
        <v>6</v>
      </c>
      <c r="H4" s="36" t="s">
        <v>22</v>
      </c>
      <c r="I4" s="37"/>
      <c r="J4" s="36" t="s">
        <v>188</v>
      </c>
      <c r="K4" s="36" t="s">
        <v>186</v>
      </c>
      <c r="L4" s="36" t="s">
        <v>22</v>
      </c>
      <c r="M4" s="39"/>
      <c r="N4" s="37"/>
      <c r="O4" s="36">
        <v>3</v>
      </c>
      <c r="P4" s="36">
        <v>0</v>
      </c>
      <c r="Q4" s="36">
        <v>1</v>
      </c>
      <c r="R4" s="36">
        <v>0</v>
      </c>
      <c r="S4" s="36" t="s">
        <v>155</v>
      </c>
      <c r="T4" s="36">
        <v>2</v>
      </c>
      <c r="U4" s="39"/>
      <c r="V4" s="36" t="s">
        <v>178</v>
      </c>
      <c r="W4" s="36" t="s">
        <v>178</v>
      </c>
      <c r="X4" s="37"/>
      <c r="Y4" s="37"/>
      <c r="Z4" s="37"/>
      <c r="AA4" s="36" t="s">
        <v>178</v>
      </c>
      <c r="AB4" s="37"/>
      <c r="AC4" s="39"/>
      <c r="AD4" s="36">
        <v>84</v>
      </c>
      <c r="AE4" s="36">
        <v>37.1</v>
      </c>
      <c r="AF4" s="36">
        <v>300</v>
      </c>
      <c r="AG4" s="40">
        <v>6</v>
      </c>
      <c r="AH4" s="40">
        <v>12</v>
      </c>
      <c r="AI4" s="36">
        <v>710</v>
      </c>
      <c r="AJ4" s="40" t="s">
        <v>180</v>
      </c>
      <c r="AK4" s="36">
        <v>8</v>
      </c>
      <c r="AL4" s="37"/>
      <c r="AM4" s="36">
        <v>1</v>
      </c>
      <c r="AN4" s="44" t="s">
        <v>233</v>
      </c>
      <c r="AO4" s="42"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189</v>
      </c>
      <c r="E5" s="1" t="s">
        <v>192</v>
      </c>
      <c r="F5" s="45" t="s">
        <v>37</v>
      </c>
      <c r="G5" s="1">
        <v>5</v>
      </c>
      <c r="H5" s="1" t="s">
        <v>22</v>
      </c>
      <c r="J5" s="1" t="s">
        <v>188</v>
      </c>
      <c r="K5" s="1" t="s">
        <v>177</v>
      </c>
      <c r="L5" s="1" t="s">
        <v>22</v>
      </c>
      <c r="M5" s="31"/>
      <c r="U5" s="31"/>
      <c r="AC5" s="31"/>
      <c r="AG5" s="35">
        <v>6</v>
      </c>
      <c r="AH5" s="35">
        <v>12</v>
      </c>
      <c r="AI5" s="1">
        <v>740</v>
      </c>
      <c r="AJ5" s="35" t="s">
        <v>180</v>
      </c>
      <c r="AK5" s="1">
        <v>21</v>
      </c>
      <c r="AN5" s="32"/>
      <c r="AO5" s="33" t="s">
        <v>189</v>
      </c>
      <c r="AP5" s="35">
        <v>1</v>
      </c>
    </row>
    <row r="6" spans="1:72">
      <c r="A6" s="1">
        <v>5</v>
      </c>
      <c r="B6" s="1" t="s">
        <v>174</v>
      </c>
      <c r="C6" s="1" t="s">
        <v>157</v>
      </c>
      <c r="D6" s="1">
        <v>282018289</v>
      </c>
      <c r="E6" s="1" t="s">
        <v>204</v>
      </c>
      <c r="F6" s="45" t="s">
        <v>88</v>
      </c>
      <c r="G6" s="1">
        <v>5</v>
      </c>
      <c r="H6" s="1" t="s">
        <v>22</v>
      </c>
      <c r="J6" s="1" t="s">
        <v>176</v>
      </c>
      <c r="K6" s="1" t="s">
        <v>189</v>
      </c>
      <c r="M6" s="31"/>
      <c r="O6" s="1">
        <v>0</v>
      </c>
      <c r="P6" s="1">
        <v>0</v>
      </c>
      <c r="Q6" s="1">
        <v>1</v>
      </c>
      <c r="R6" s="1">
        <v>0</v>
      </c>
      <c r="S6" s="1" t="s">
        <v>179</v>
      </c>
      <c r="T6" s="1">
        <v>2</v>
      </c>
      <c r="U6" s="31"/>
      <c r="AC6" s="31"/>
      <c r="AD6" s="1">
        <v>60</v>
      </c>
      <c r="AE6" s="1">
        <v>9.4</v>
      </c>
      <c r="AF6" s="1">
        <v>300</v>
      </c>
      <c r="AG6" s="35">
        <v>6</v>
      </c>
      <c r="AH6" s="35">
        <v>12</v>
      </c>
      <c r="AI6" s="1">
        <v>840</v>
      </c>
      <c r="AJ6" s="35" t="s">
        <v>180</v>
      </c>
      <c r="AK6" s="1">
        <v>20</v>
      </c>
      <c r="AN6" s="32"/>
      <c r="AO6" s="33" t="s">
        <v>157</v>
      </c>
      <c r="AP6" s="35">
        <v>1</v>
      </c>
    </row>
    <row r="7" spans="1:72">
      <c r="A7" s="36">
        <v>6</v>
      </c>
      <c r="B7" s="36" t="s">
        <v>174</v>
      </c>
      <c r="C7" s="36" t="s">
        <v>179</v>
      </c>
      <c r="D7" s="36">
        <v>281191225</v>
      </c>
      <c r="E7" s="36" t="s">
        <v>206</v>
      </c>
      <c r="F7" s="58" t="s">
        <v>105</v>
      </c>
      <c r="G7" s="36">
        <v>6</v>
      </c>
      <c r="H7" s="36" t="s">
        <v>22</v>
      </c>
      <c r="I7" s="37"/>
      <c r="J7" s="36" t="s">
        <v>188</v>
      </c>
      <c r="K7" s="36" t="s">
        <v>177</v>
      </c>
      <c r="L7" s="36" t="s">
        <v>178</v>
      </c>
      <c r="M7" s="39"/>
      <c r="N7" s="37"/>
      <c r="O7" s="36">
        <v>0</v>
      </c>
      <c r="P7" s="36">
        <v>4</v>
      </c>
      <c r="Q7" s="36">
        <v>1</v>
      </c>
      <c r="R7" s="36">
        <v>0</v>
      </c>
      <c r="S7" s="36" t="s">
        <v>179</v>
      </c>
      <c r="T7" s="36">
        <v>2</v>
      </c>
      <c r="U7" s="39"/>
      <c r="V7" s="36" t="s">
        <v>178</v>
      </c>
      <c r="W7" s="37"/>
      <c r="X7" s="37"/>
      <c r="Y7" s="37"/>
      <c r="Z7" s="37"/>
      <c r="AA7" s="36" t="s">
        <v>178</v>
      </c>
      <c r="AB7" s="37"/>
      <c r="AC7" s="39"/>
      <c r="AD7" s="36">
        <v>76</v>
      </c>
      <c r="AE7" s="36">
        <v>25.3</v>
      </c>
      <c r="AF7" s="40">
        <v>300</v>
      </c>
      <c r="AG7" s="40">
        <v>6</v>
      </c>
      <c r="AH7" s="40">
        <v>12</v>
      </c>
      <c r="AI7" s="36">
        <v>840</v>
      </c>
      <c r="AJ7" s="40" t="s">
        <v>180</v>
      </c>
      <c r="AK7" s="36">
        <v>7</v>
      </c>
      <c r="AL7" s="37"/>
      <c r="AM7" s="37"/>
      <c r="AN7" s="41"/>
      <c r="AO7" s="42">
        <v>1</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281191226</v>
      </c>
      <c r="E8" s="1" t="s">
        <v>199</v>
      </c>
      <c r="F8" s="45" t="s">
        <v>111</v>
      </c>
      <c r="G8" s="1">
        <v>1</v>
      </c>
      <c r="H8" s="1" t="s">
        <v>22</v>
      </c>
      <c r="J8" s="1" t="s">
        <v>176</v>
      </c>
      <c r="K8" s="1" t="s">
        <v>186</v>
      </c>
      <c r="L8" s="1" t="s">
        <v>22</v>
      </c>
      <c r="M8" s="45" t="s">
        <v>1</v>
      </c>
      <c r="O8" s="1">
        <v>3</v>
      </c>
      <c r="P8" s="1">
        <v>0</v>
      </c>
      <c r="Q8" s="1">
        <v>0</v>
      </c>
      <c r="R8" s="1">
        <v>0</v>
      </c>
      <c r="S8" s="1" t="s">
        <v>179</v>
      </c>
      <c r="T8" s="1">
        <v>2</v>
      </c>
      <c r="U8" s="31"/>
      <c r="V8" s="1" t="s">
        <v>178</v>
      </c>
      <c r="AA8" s="1" t="s">
        <v>178</v>
      </c>
      <c r="AB8" s="1" t="s">
        <v>189</v>
      </c>
      <c r="AC8" s="31"/>
      <c r="AD8" s="1">
        <v>76</v>
      </c>
      <c r="AE8" s="1">
        <v>18.8</v>
      </c>
      <c r="AF8" s="35">
        <v>300</v>
      </c>
      <c r="AG8" s="35">
        <v>6</v>
      </c>
      <c r="AH8" s="35">
        <v>12</v>
      </c>
      <c r="AI8" s="1">
        <v>920</v>
      </c>
      <c r="AJ8" s="35" t="s">
        <v>180</v>
      </c>
      <c r="AK8" s="1">
        <v>10</v>
      </c>
      <c r="AM8" s="1">
        <v>2</v>
      </c>
      <c r="AN8" s="43" t="s">
        <v>234</v>
      </c>
      <c r="AO8" s="33" t="s">
        <v>157</v>
      </c>
      <c r="AP8" s="35">
        <v>1</v>
      </c>
    </row>
    <row r="9" spans="1:72">
      <c r="A9" s="1">
        <v>8</v>
      </c>
      <c r="B9" s="1" t="s">
        <v>174</v>
      </c>
      <c r="C9" s="1" t="s">
        <v>157</v>
      </c>
      <c r="D9" s="1">
        <v>131215188</v>
      </c>
      <c r="E9" s="1" t="s">
        <v>191</v>
      </c>
      <c r="F9" s="45" t="s">
        <v>99</v>
      </c>
      <c r="G9" s="1">
        <v>5</v>
      </c>
      <c r="H9" s="1" t="s">
        <v>22</v>
      </c>
      <c r="J9" s="1" t="s">
        <v>182</v>
      </c>
      <c r="K9" s="1" t="s">
        <v>177</v>
      </c>
      <c r="L9" s="1" t="s">
        <v>178</v>
      </c>
      <c r="M9" s="45" t="s">
        <v>22</v>
      </c>
      <c r="O9" s="1">
        <v>0</v>
      </c>
      <c r="P9" s="1">
        <v>2</v>
      </c>
      <c r="Q9" s="1">
        <v>3</v>
      </c>
      <c r="R9" s="1">
        <v>0</v>
      </c>
      <c r="S9" s="1" t="s">
        <v>179</v>
      </c>
      <c r="T9" s="1">
        <v>2</v>
      </c>
      <c r="U9" s="31"/>
      <c r="V9" s="1" t="s">
        <v>183</v>
      </c>
      <c r="AA9" s="1" t="s">
        <v>183</v>
      </c>
      <c r="AC9" s="31"/>
      <c r="AD9" s="1">
        <v>128</v>
      </c>
      <c r="AE9" s="1">
        <v>82.8</v>
      </c>
      <c r="AF9" s="35">
        <v>300</v>
      </c>
      <c r="AG9" s="35">
        <v>6</v>
      </c>
      <c r="AH9" s="35">
        <v>12</v>
      </c>
      <c r="AI9" s="1">
        <v>10</v>
      </c>
      <c r="AJ9" s="35" t="s">
        <v>180</v>
      </c>
      <c r="AK9" s="1">
        <v>0</v>
      </c>
      <c r="AN9" s="32"/>
      <c r="AO9" s="33" t="s">
        <v>157</v>
      </c>
      <c r="AP9" s="35">
        <v>1</v>
      </c>
    </row>
    <row r="10" spans="1:72">
      <c r="A10" s="36">
        <v>9</v>
      </c>
      <c r="B10" s="36" t="s">
        <v>174</v>
      </c>
      <c r="C10" s="36" t="s">
        <v>179</v>
      </c>
      <c r="D10" s="36">
        <v>290077833</v>
      </c>
      <c r="E10" s="36" t="s">
        <v>235</v>
      </c>
      <c r="F10" s="58" t="s">
        <v>70</v>
      </c>
      <c r="G10" s="36">
        <v>5</v>
      </c>
      <c r="H10" s="36" t="s">
        <v>22</v>
      </c>
      <c r="I10" s="36" t="s">
        <v>185</v>
      </c>
      <c r="J10" s="36" t="s">
        <v>236</v>
      </c>
      <c r="K10" s="36" t="s">
        <v>189</v>
      </c>
      <c r="L10" s="37"/>
      <c r="M10" s="39"/>
      <c r="N10" s="37"/>
      <c r="O10" s="36">
        <v>0</v>
      </c>
      <c r="P10" s="36">
        <v>0</v>
      </c>
      <c r="Q10" s="36">
        <v>1</v>
      </c>
      <c r="R10" s="36">
        <v>0</v>
      </c>
      <c r="S10" s="36" t="s">
        <v>179</v>
      </c>
      <c r="T10" s="36">
        <v>2</v>
      </c>
      <c r="U10" s="39"/>
      <c r="V10" s="37"/>
      <c r="W10" s="36" t="s">
        <v>185</v>
      </c>
      <c r="X10" s="37"/>
      <c r="Y10" s="37"/>
      <c r="Z10" s="36" t="s">
        <v>185</v>
      </c>
      <c r="AA10" s="36" t="s">
        <v>183</v>
      </c>
      <c r="AB10" s="37"/>
      <c r="AC10" s="39"/>
      <c r="AD10" s="36">
        <v>64</v>
      </c>
      <c r="AE10" s="36">
        <v>11.5</v>
      </c>
      <c r="AF10" s="40">
        <v>300</v>
      </c>
      <c r="AG10" s="40">
        <v>6</v>
      </c>
      <c r="AH10" s="40">
        <v>12</v>
      </c>
      <c r="AI10" s="36">
        <v>1030</v>
      </c>
      <c r="AJ10" s="40" t="s">
        <v>180</v>
      </c>
      <c r="AK10" s="36">
        <v>7</v>
      </c>
      <c r="AL10" s="37"/>
      <c r="AM10" s="37"/>
      <c r="AN10" s="41"/>
      <c r="AO10" s="42" t="s">
        <v>215</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189</v>
      </c>
      <c r="E11" s="1" t="s">
        <v>192</v>
      </c>
      <c r="F11" s="45" t="s">
        <v>37</v>
      </c>
      <c r="G11" s="1">
        <v>2</v>
      </c>
      <c r="H11" s="1" t="s">
        <v>183</v>
      </c>
      <c r="I11" s="1" t="s">
        <v>220</v>
      </c>
      <c r="J11" s="1" t="s">
        <v>232</v>
      </c>
      <c r="K11" s="1" t="s">
        <v>186</v>
      </c>
      <c r="L11" s="1" t="s">
        <v>183</v>
      </c>
      <c r="M11" s="31"/>
      <c r="U11" s="31"/>
      <c r="AC11" s="31"/>
      <c r="AG11" s="35">
        <v>6</v>
      </c>
      <c r="AH11" s="35">
        <v>12</v>
      </c>
      <c r="AI11" s="1">
        <v>11</v>
      </c>
      <c r="AJ11" s="35" t="s">
        <v>180</v>
      </c>
      <c r="AK11" s="1">
        <v>14</v>
      </c>
      <c r="AN11" s="32"/>
      <c r="AO11" s="33" t="s">
        <v>189</v>
      </c>
      <c r="AP11" s="35">
        <v>1</v>
      </c>
    </row>
    <row r="12" spans="1:72">
      <c r="A12" s="1">
        <v>11</v>
      </c>
      <c r="B12" s="1" t="s">
        <v>174</v>
      </c>
      <c r="C12" s="1" t="s">
        <v>179</v>
      </c>
      <c r="D12" s="1">
        <v>172176237</v>
      </c>
      <c r="E12" s="1" t="s">
        <v>175</v>
      </c>
      <c r="F12" s="45" t="s">
        <v>114</v>
      </c>
      <c r="G12" s="1">
        <v>1</v>
      </c>
      <c r="H12" s="1" t="s">
        <v>22</v>
      </c>
      <c r="J12" s="1" t="s">
        <v>176</v>
      </c>
      <c r="K12" s="1" t="s">
        <v>186</v>
      </c>
      <c r="L12" s="1" t="s">
        <v>1</v>
      </c>
      <c r="M12" s="31"/>
      <c r="O12" s="1">
        <v>3</v>
      </c>
      <c r="P12" s="1">
        <v>0</v>
      </c>
      <c r="Q12" s="1">
        <v>3</v>
      </c>
      <c r="R12" s="1">
        <v>0</v>
      </c>
      <c r="S12" s="1" t="s">
        <v>179</v>
      </c>
      <c r="T12" s="1">
        <v>2</v>
      </c>
      <c r="U12" s="31"/>
      <c r="V12" s="1" t="s">
        <v>178</v>
      </c>
      <c r="W12" s="1" t="s">
        <v>178</v>
      </c>
      <c r="Y12" s="1" t="s">
        <v>178</v>
      </c>
      <c r="AA12" s="1" t="s">
        <v>178</v>
      </c>
      <c r="AC12" s="31"/>
      <c r="AD12" s="1">
        <v>65</v>
      </c>
      <c r="AE12" s="1">
        <v>24.7</v>
      </c>
      <c r="AF12" s="1">
        <v>300</v>
      </c>
      <c r="AG12" s="35">
        <v>6</v>
      </c>
      <c r="AH12" s="35">
        <v>12</v>
      </c>
      <c r="AI12" s="1">
        <v>1140</v>
      </c>
      <c r="AJ12" s="35" t="s">
        <v>180</v>
      </c>
      <c r="AK12" s="1">
        <v>6</v>
      </c>
      <c r="AM12" s="1">
        <v>3</v>
      </c>
      <c r="AN12" s="43" t="s">
        <v>237</v>
      </c>
      <c r="AO12" s="33" t="s">
        <v>203</v>
      </c>
      <c r="AP12" s="35">
        <v>1</v>
      </c>
    </row>
    <row r="13" spans="1:72">
      <c r="A13" s="11">
        <v>12</v>
      </c>
      <c r="B13" s="11" t="s">
        <v>174</v>
      </c>
      <c r="C13" s="11" t="s">
        <v>179</v>
      </c>
      <c r="D13" s="11">
        <v>288029942</v>
      </c>
      <c r="E13" s="11" t="s">
        <v>238</v>
      </c>
      <c r="F13" s="59" t="s">
        <v>87</v>
      </c>
      <c r="G13" s="11">
        <v>5</v>
      </c>
      <c r="H13" s="11" t="s">
        <v>155</v>
      </c>
      <c r="I13" s="11" t="s">
        <v>22</v>
      </c>
      <c r="J13" s="11" t="s">
        <v>176</v>
      </c>
      <c r="K13" s="11" t="s">
        <v>177</v>
      </c>
      <c r="L13" s="11" t="s">
        <v>178</v>
      </c>
      <c r="M13" s="49"/>
      <c r="N13" s="12"/>
      <c r="O13" s="11">
        <v>0</v>
      </c>
      <c r="P13" s="11">
        <v>4</v>
      </c>
      <c r="Q13" s="11">
        <v>2</v>
      </c>
      <c r="R13" s="11">
        <v>0</v>
      </c>
      <c r="S13" s="11" t="s">
        <v>179</v>
      </c>
      <c r="T13" s="11">
        <v>2</v>
      </c>
      <c r="U13" s="49"/>
      <c r="V13" s="11" t="s">
        <v>183</v>
      </c>
      <c r="W13" s="11" t="s">
        <v>185</v>
      </c>
      <c r="X13" s="12"/>
      <c r="Y13" s="12"/>
      <c r="Z13" s="12"/>
      <c r="AA13" s="11" t="s">
        <v>183</v>
      </c>
      <c r="AB13" s="12"/>
      <c r="AC13" s="49"/>
      <c r="AD13" s="11">
        <v>58</v>
      </c>
      <c r="AE13" s="11">
        <v>10.3</v>
      </c>
      <c r="AF13" s="11">
        <v>300</v>
      </c>
      <c r="AG13" s="50">
        <v>6</v>
      </c>
      <c r="AH13" s="50">
        <v>12</v>
      </c>
      <c r="AI13" s="11">
        <v>1140</v>
      </c>
      <c r="AJ13" s="50" t="s">
        <v>180</v>
      </c>
      <c r="AK13" s="11">
        <v>10</v>
      </c>
      <c r="AL13" s="12"/>
      <c r="AM13" s="12"/>
      <c r="AN13" s="51"/>
      <c r="AO13" s="52">
        <v>0</v>
      </c>
      <c r="AP13" s="50">
        <v>1</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 r="A14" s="1">
        <v>1</v>
      </c>
      <c r="B14" s="1" t="s">
        <v>207</v>
      </c>
      <c r="C14" s="1" t="s">
        <v>157</v>
      </c>
      <c r="D14" s="1">
        <v>135291818</v>
      </c>
      <c r="E14" s="1" t="s">
        <v>191</v>
      </c>
      <c r="F14" s="45" t="s">
        <v>99</v>
      </c>
      <c r="G14" s="1">
        <v>6</v>
      </c>
      <c r="H14" s="1" t="s">
        <v>22</v>
      </c>
      <c r="J14" s="1" t="s">
        <v>188</v>
      </c>
      <c r="K14" s="1" t="s">
        <v>186</v>
      </c>
      <c r="L14" s="1" t="s">
        <v>1</v>
      </c>
      <c r="M14" s="31"/>
      <c r="O14" s="1">
        <v>3</v>
      </c>
      <c r="P14" s="1">
        <v>0</v>
      </c>
      <c r="Q14" s="1">
        <v>1</v>
      </c>
      <c r="R14" s="1">
        <v>0</v>
      </c>
      <c r="S14" s="1" t="s">
        <v>179</v>
      </c>
      <c r="T14" s="1">
        <v>3</v>
      </c>
      <c r="U14" s="31"/>
      <c r="V14" s="1" t="s">
        <v>178</v>
      </c>
      <c r="W14" s="1" t="s">
        <v>178</v>
      </c>
      <c r="AA14" s="1" t="s">
        <v>189</v>
      </c>
      <c r="AC14" s="31"/>
      <c r="AD14" s="1">
        <v>135</v>
      </c>
      <c r="AF14" s="1">
        <v>300</v>
      </c>
      <c r="AG14" s="35">
        <v>6</v>
      </c>
      <c r="AH14" s="35">
        <v>12</v>
      </c>
      <c r="AI14" s="1">
        <v>630</v>
      </c>
      <c r="AJ14" s="35" t="s">
        <v>180</v>
      </c>
      <c r="AK14" s="1">
        <v>20</v>
      </c>
      <c r="AN14" s="32"/>
      <c r="AO14" s="33" t="s">
        <v>157</v>
      </c>
      <c r="AP14" s="1">
        <v>2</v>
      </c>
    </row>
    <row r="15" spans="1:72">
      <c r="A15" s="1">
        <v>2</v>
      </c>
      <c r="B15" s="1" t="s">
        <v>207</v>
      </c>
      <c r="C15" s="1" t="s">
        <v>157</v>
      </c>
      <c r="D15" s="1">
        <v>135291845</v>
      </c>
      <c r="E15" s="1" t="s">
        <v>191</v>
      </c>
      <c r="F15" s="45" t="s">
        <v>99</v>
      </c>
      <c r="G15" s="1">
        <v>6</v>
      </c>
      <c r="H15" s="1" t="s">
        <v>22</v>
      </c>
      <c r="J15" s="1" t="s">
        <v>188</v>
      </c>
      <c r="K15" s="1" t="s">
        <v>177</v>
      </c>
      <c r="L15" s="1" t="s">
        <v>178</v>
      </c>
      <c r="M15" s="31"/>
      <c r="O15" s="1">
        <v>0</v>
      </c>
      <c r="P15" s="1">
        <v>3</v>
      </c>
      <c r="Q15" s="1">
        <v>1</v>
      </c>
      <c r="R15" s="1">
        <v>0</v>
      </c>
      <c r="S15" s="1" t="s">
        <v>179</v>
      </c>
      <c r="T15" s="1">
        <v>1</v>
      </c>
      <c r="U15" s="31"/>
      <c r="V15" s="1" t="s">
        <v>178</v>
      </c>
      <c r="W15" s="1" t="s">
        <v>178</v>
      </c>
      <c r="AA15" s="1" t="s">
        <v>178</v>
      </c>
      <c r="AC15" s="31"/>
      <c r="AD15" s="1">
        <v>130</v>
      </c>
      <c r="AF15" s="1">
        <v>300</v>
      </c>
      <c r="AG15" s="35">
        <v>6</v>
      </c>
      <c r="AH15" s="35">
        <v>12</v>
      </c>
      <c r="AI15" s="1">
        <v>710</v>
      </c>
      <c r="AJ15" s="35" t="s">
        <v>180</v>
      </c>
      <c r="AK15" s="1">
        <v>9</v>
      </c>
      <c r="AN15" s="32"/>
      <c r="AO15" s="33" t="s">
        <v>157</v>
      </c>
      <c r="AP15" s="35">
        <v>2</v>
      </c>
    </row>
    <row r="16" spans="1:72">
      <c r="A16" s="36">
        <v>3</v>
      </c>
      <c r="B16" s="36" t="s">
        <v>207</v>
      </c>
      <c r="C16" s="36" t="s">
        <v>157</v>
      </c>
      <c r="D16" s="36">
        <v>284053841</v>
      </c>
      <c r="E16" s="36" t="s">
        <v>187</v>
      </c>
      <c r="F16" s="58" t="s">
        <v>72</v>
      </c>
      <c r="G16" s="36">
        <v>5</v>
      </c>
      <c r="H16" s="36" t="s">
        <v>185</v>
      </c>
      <c r="I16" s="37"/>
      <c r="J16" s="36" t="s">
        <v>182</v>
      </c>
      <c r="K16" s="36" t="s">
        <v>189</v>
      </c>
      <c r="L16" s="37"/>
      <c r="M16" s="39"/>
      <c r="N16" s="37"/>
      <c r="O16" s="36">
        <v>0</v>
      </c>
      <c r="P16" s="36">
        <v>2</v>
      </c>
      <c r="Q16" s="36">
        <v>0</v>
      </c>
      <c r="R16" s="36">
        <v>0</v>
      </c>
      <c r="S16" s="36" t="s">
        <v>179</v>
      </c>
      <c r="T16" s="36">
        <v>1</v>
      </c>
      <c r="U16" s="39"/>
      <c r="V16" s="36" t="s">
        <v>177</v>
      </c>
      <c r="W16" s="36" t="s">
        <v>185</v>
      </c>
      <c r="X16" s="37"/>
      <c r="Y16" s="37"/>
      <c r="Z16" s="37"/>
      <c r="AA16" s="37"/>
      <c r="AB16" s="37"/>
      <c r="AC16" s="39"/>
      <c r="AD16" s="37"/>
      <c r="AE16" s="36">
        <v>11.4</v>
      </c>
      <c r="AF16" s="36">
        <v>300</v>
      </c>
      <c r="AG16" s="40">
        <v>6</v>
      </c>
      <c r="AH16" s="40">
        <v>12</v>
      </c>
      <c r="AI16" s="36">
        <v>740</v>
      </c>
      <c r="AJ16" s="40" t="s">
        <v>180</v>
      </c>
      <c r="AK16" s="36">
        <v>10</v>
      </c>
      <c r="AL16" s="37"/>
      <c r="AM16" s="36">
        <v>1</v>
      </c>
      <c r="AN16" s="44" t="s">
        <v>239</v>
      </c>
      <c r="AO16" s="42" t="s">
        <v>157</v>
      </c>
      <c r="AP16" s="40">
        <v>2</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4</v>
      </c>
      <c r="B17" s="1" t="s">
        <v>207</v>
      </c>
      <c r="C17" s="1" t="s">
        <v>189</v>
      </c>
      <c r="E17" s="1" t="s">
        <v>192</v>
      </c>
      <c r="F17" s="45" t="s">
        <v>37</v>
      </c>
      <c r="G17" s="1">
        <v>2</v>
      </c>
      <c r="H17" s="1" t="s">
        <v>220</v>
      </c>
      <c r="I17" s="1" t="s">
        <v>22</v>
      </c>
      <c r="J17" s="1" t="s">
        <v>232</v>
      </c>
      <c r="K17" s="1" t="s">
        <v>177</v>
      </c>
      <c r="L17" s="1" t="s">
        <v>22</v>
      </c>
      <c r="M17" s="31"/>
      <c r="U17" s="31"/>
      <c r="AB17" s="1" t="s">
        <v>183</v>
      </c>
      <c r="AC17" s="31"/>
      <c r="AG17" s="35">
        <v>6</v>
      </c>
      <c r="AH17" s="35">
        <v>12</v>
      </c>
      <c r="AI17" s="1">
        <v>830</v>
      </c>
      <c r="AJ17" s="35" t="s">
        <v>180</v>
      </c>
      <c r="AK17" s="1">
        <v>6</v>
      </c>
      <c r="AN17" s="32"/>
      <c r="AO17" s="33" t="s">
        <v>189</v>
      </c>
      <c r="AP17" s="35">
        <v>2</v>
      </c>
    </row>
    <row r="18" spans="1:72">
      <c r="A18" s="1">
        <v>5</v>
      </c>
      <c r="B18" s="1" t="s">
        <v>207</v>
      </c>
      <c r="C18" s="1" t="s">
        <v>179</v>
      </c>
      <c r="D18" s="1">
        <v>288029939</v>
      </c>
      <c r="E18" s="1" t="s">
        <v>204</v>
      </c>
      <c r="F18" s="45" t="s">
        <v>88</v>
      </c>
      <c r="G18" s="1">
        <v>2</v>
      </c>
      <c r="H18" s="1" t="s">
        <v>183</v>
      </c>
      <c r="J18" s="1" t="s">
        <v>232</v>
      </c>
      <c r="K18" s="1" t="s">
        <v>189</v>
      </c>
      <c r="M18" s="31"/>
      <c r="O18" s="1">
        <v>0</v>
      </c>
      <c r="P18" s="1">
        <v>3</v>
      </c>
      <c r="Q18" s="1">
        <v>0</v>
      </c>
      <c r="R18" s="1">
        <v>0</v>
      </c>
      <c r="S18" s="1" t="s">
        <v>179</v>
      </c>
      <c r="T18" s="1">
        <v>1</v>
      </c>
      <c r="U18" s="45">
        <v>3</v>
      </c>
      <c r="V18" s="1" t="s">
        <v>183</v>
      </c>
      <c r="AA18" s="1" t="s">
        <v>183</v>
      </c>
      <c r="AB18" s="1" t="s">
        <v>183</v>
      </c>
      <c r="AC18" s="31"/>
      <c r="AD18" s="1">
        <v>55</v>
      </c>
      <c r="AE18" s="1">
        <v>9.1999999999999993</v>
      </c>
      <c r="AF18" s="1">
        <v>300</v>
      </c>
      <c r="AG18" s="35">
        <v>6</v>
      </c>
      <c r="AH18" s="35">
        <v>12</v>
      </c>
      <c r="AI18" s="1">
        <v>9</v>
      </c>
      <c r="AJ18" s="35" t="s">
        <v>180</v>
      </c>
      <c r="AK18" s="1">
        <v>20</v>
      </c>
      <c r="AN18" s="32"/>
      <c r="AO18" s="33">
        <v>0</v>
      </c>
      <c r="AP18" s="35">
        <v>2</v>
      </c>
    </row>
    <row r="19" spans="1:72">
      <c r="A19" s="36">
        <v>6</v>
      </c>
      <c r="B19" s="36" t="s">
        <v>207</v>
      </c>
      <c r="C19" s="36" t="s">
        <v>157</v>
      </c>
      <c r="D19" s="36">
        <v>135291845</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v>
      </c>
      <c r="AH19" s="40">
        <v>12</v>
      </c>
      <c r="AI19" s="36">
        <v>920</v>
      </c>
      <c r="AJ19" s="40" t="s">
        <v>180</v>
      </c>
      <c r="AK19" s="36">
        <v>9</v>
      </c>
      <c r="AL19" s="37"/>
      <c r="AM19" s="36">
        <v>2</v>
      </c>
      <c r="AN19" s="44" t="s">
        <v>240</v>
      </c>
      <c r="AO19" s="42" t="s">
        <v>157</v>
      </c>
      <c r="AP19" s="40">
        <v>2</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spans="1:72">
      <c r="A20" s="1">
        <v>7</v>
      </c>
      <c r="B20" s="1" t="s">
        <v>207</v>
      </c>
      <c r="C20" s="1" t="s">
        <v>189</v>
      </c>
      <c r="E20" s="1" t="s">
        <v>192</v>
      </c>
      <c r="F20" s="45" t="s">
        <v>37</v>
      </c>
      <c r="G20" s="1">
        <v>2</v>
      </c>
      <c r="H20" s="1" t="s">
        <v>183</v>
      </c>
      <c r="J20" s="1" t="s">
        <v>232</v>
      </c>
      <c r="K20" s="1" t="s">
        <v>189</v>
      </c>
      <c r="M20" s="31"/>
      <c r="U20" s="31"/>
      <c r="AB20" s="1" t="s">
        <v>183</v>
      </c>
      <c r="AC20" s="31"/>
      <c r="AG20" s="35">
        <v>6</v>
      </c>
      <c r="AH20" s="35">
        <v>12</v>
      </c>
      <c r="AI20" s="1">
        <v>920</v>
      </c>
      <c r="AJ20" s="35" t="s">
        <v>180</v>
      </c>
      <c r="AK20" s="1">
        <v>6</v>
      </c>
      <c r="AN20" s="32"/>
      <c r="AO20" s="33" t="s">
        <v>189</v>
      </c>
      <c r="AP20" s="35">
        <v>2</v>
      </c>
    </row>
    <row r="21" spans="1:72">
      <c r="A21" s="1">
        <v>8</v>
      </c>
      <c r="B21" s="1" t="s">
        <v>207</v>
      </c>
      <c r="C21" s="1" t="s">
        <v>179</v>
      </c>
      <c r="D21" s="1">
        <v>288029940</v>
      </c>
      <c r="E21" s="1" t="s">
        <v>228</v>
      </c>
      <c r="F21" s="45" t="s">
        <v>120</v>
      </c>
      <c r="G21" s="1">
        <v>2</v>
      </c>
      <c r="H21" s="1" t="s">
        <v>183</v>
      </c>
      <c r="J21" s="1" t="s">
        <v>200</v>
      </c>
      <c r="K21" s="1" t="s">
        <v>189</v>
      </c>
      <c r="M21" s="31"/>
      <c r="N21" s="1">
        <v>2</v>
      </c>
      <c r="O21" s="1">
        <v>0</v>
      </c>
      <c r="P21" s="1">
        <v>0</v>
      </c>
      <c r="Q21" s="1">
        <v>1</v>
      </c>
      <c r="R21" s="1">
        <v>2</v>
      </c>
      <c r="S21" s="1">
        <v>0</v>
      </c>
      <c r="T21" s="1">
        <v>0</v>
      </c>
      <c r="U21" s="45">
        <v>3</v>
      </c>
      <c r="V21" s="1" t="s">
        <v>183</v>
      </c>
      <c r="AB21" s="1" t="s">
        <v>183</v>
      </c>
      <c r="AC21" s="31"/>
      <c r="AD21" s="1">
        <v>54</v>
      </c>
      <c r="AF21" s="1">
        <v>300</v>
      </c>
      <c r="AG21" s="35">
        <v>6</v>
      </c>
      <c r="AH21" s="35">
        <v>12</v>
      </c>
      <c r="AI21" s="1">
        <v>10</v>
      </c>
      <c r="AJ21" s="35" t="s">
        <v>180</v>
      </c>
      <c r="AK21" s="1">
        <v>15</v>
      </c>
      <c r="AN21" s="32"/>
      <c r="AO21" s="33">
        <v>0</v>
      </c>
      <c r="AP21" s="35">
        <v>2</v>
      </c>
    </row>
    <row r="22" spans="1:72">
      <c r="A22" s="11">
        <v>9</v>
      </c>
      <c r="B22" s="11" t="s">
        <v>207</v>
      </c>
      <c r="C22" s="11" t="s">
        <v>189</v>
      </c>
      <c r="D22" s="12"/>
      <c r="E22" s="11" t="s">
        <v>192</v>
      </c>
      <c r="F22" s="59" t="s">
        <v>37</v>
      </c>
      <c r="G22" s="11">
        <v>6</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v>
      </c>
      <c r="AG22" s="50">
        <v>6</v>
      </c>
      <c r="AH22" s="50">
        <v>12</v>
      </c>
      <c r="AI22" s="11">
        <v>1120</v>
      </c>
      <c r="AJ22" s="50" t="s">
        <v>180</v>
      </c>
      <c r="AK22" s="11">
        <v>21</v>
      </c>
      <c r="AL22" s="12"/>
      <c r="AM22" s="12"/>
      <c r="AN22" s="51"/>
      <c r="AO22" s="52" t="s">
        <v>189</v>
      </c>
      <c r="AP22" s="50">
        <v>2</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179</v>
      </c>
      <c r="D23" s="1">
        <v>290077831</v>
      </c>
      <c r="E23" s="1" t="s">
        <v>241</v>
      </c>
      <c r="F23" s="45" t="s">
        <v>126</v>
      </c>
      <c r="G23" s="1">
        <v>1</v>
      </c>
      <c r="H23" s="1" t="s">
        <v>22</v>
      </c>
      <c r="J23" s="1" t="s">
        <v>188</v>
      </c>
      <c r="K23" s="1" t="s">
        <v>186</v>
      </c>
      <c r="L23" s="1" t="s">
        <v>22</v>
      </c>
      <c r="M23" s="31"/>
      <c r="O23" s="1">
        <v>1</v>
      </c>
      <c r="P23" s="1">
        <v>0</v>
      </c>
      <c r="U23" s="31"/>
      <c r="AC23" s="31"/>
      <c r="AD23" s="1">
        <v>59</v>
      </c>
      <c r="AE23" s="1">
        <v>8.3000000000000007</v>
      </c>
      <c r="AF23" s="1">
        <v>300</v>
      </c>
      <c r="AG23" s="35">
        <v>6</v>
      </c>
      <c r="AH23" s="35">
        <v>12</v>
      </c>
      <c r="AI23" s="1">
        <v>710</v>
      </c>
      <c r="AJ23" s="35" t="s">
        <v>180</v>
      </c>
      <c r="AK23" s="1">
        <v>15</v>
      </c>
      <c r="AL23" s="1" t="s">
        <v>197</v>
      </c>
      <c r="AM23" s="1">
        <v>1</v>
      </c>
      <c r="AN23" s="43" t="s">
        <v>242</v>
      </c>
      <c r="AO23" s="33" t="s">
        <v>215</v>
      </c>
      <c r="AP23" s="1">
        <v>3</v>
      </c>
    </row>
    <row r="24" spans="1:72">
      <c r="A24" s="1">
        <v>2</v>
      </c>
      <c r="B24" s="1" t="s">
        <v>216</v>
      </c>
      <c r="C24" s="1" t="s">
        <v>157</v>
      </c>
      <c r="D24" s="1">
        <v>283105290</v>
      </c>
      <c r="E24" s="1" t="s">
        <v>194</v>
      </c>
      <c r="F24" s="45" t="s">
        <v>98</v>
      </c>
      <c r="G24" s="1">
        <v>1</v>
      </c>
      <c r="H24" s="1" t="s">
        <v>22</v>
      </c>
      <c r="J24" s="1" t="s">
        <v>188</v>
      </c>
      <c r="K24" s="1" t="s">
        <v>177</v>
      </c>
      <c r="L24" s="1" t="s">
        <v>178</v>
      </c>
      <c r="M24" s="31"/>
      <c r="O24" s="1">
        <v>0</v>
      </c>
      <c r="P24" s="1">
        <v>3</v>
      </c>
      <c r="Q24" s="1">
        <v>0</v>
      </c>
      <c r="R24" s="1">
        <v>0</v>
      </c>
      <c r="S24" s="1" t="s">
        <v>179</v>
      </c>
      <c r="T24" s="1">
        <v>2</v>
      </c>
      <c r="U24" s="31"/>
      <c r="AA24" s="1" t="s">
        <v>178</v>
      </c>
      <c r="AC24" s="31"/>
      <c r="AD24" s="1">
        <v>95</v>
      </c>
      <c r="AE24" s="1">
        <v>34.799999999999997</v>
      </c>
      <c r="AF24" s="1">
        <v>300</v>
      </c>
      <c r="AG24" s="35">
        <v>6</v>
      </c>
      <c r="AH24" s="35">
        <v>12</v>
      </c>
      <c r="AI24" s="1">
        <v>810</v>
      </c>
      <c r="AJ24" s="35" t="s">
        <v>180</v>
      </c>
      <c r="AK24" s="1">
        <v>14</v>
      </c>
      <c r="AM24" s="1">
        <v>2</v>
      </c>
      <c r="AN24" s="43" t="s">
        <v>243</v>
      </c>
      <c r="AO24" s="33" t="s">
        <v>157</v>
      </c>
      <c r="AP24" s="35">
        <v>3</v>
      </c>
    </row>
    <row r="25" spans="1:72">
      <c r="A25" s="36">
        <v>3</v>
      </c>
      <c r="B25" s="36" t="s">
        <v>216</v>
      </c>
      <c r="C25" s="36" t="s">
        <v>157</v>
      </c>
      <c r="D25" s="36">
        <v>172176225</v>
      </c>
      <c r="E25" s="36" t="s">
        <v>194</v>
      </c>
      <c r="F25" s="58" t="s">
        <v>98</v>
      </c>
      <c r="G25" s="36">
        <v>1</v>
      </c>
      <c r="H25" s="36" t="s">
        <v>22</v>
      </c>
      <c r="I25" s="37"/>
      <c r="J25" s="37"/>
      <c r="K25" s="37"/>
      <c r="L25" s="37"/>
      <c r="M25" s="39"/>
      <c r="N25" s="37"/>
      <c r="O25" s="36">
        <v>2</v>
      </c>
      <c r="P25" s="36">
        <v>0</v>
      </c>
      <c r="Q25" s="36">
        <v>0</v>
      </c>
      <c r="R25" s="36">
        <v>0</v>
      </c>
      <c r="S25" s="36" t="s">
        <v>179</v>
      </c>
      <c r="T25" s="36">
        <v>2</v>
      </c>
      <c r="U25" s="39"/>
      <c r="V25" s="37"/>
      <c r="W25" s="37"/>
      <c r="X25" s="37"/>
      <c r="Y25" s="37"/>
      <c r="Z25" s="37"/>
      <c r="AA25" s="37"/>
      <c r="AB25" s="37"/>
      <c r="AC25" s="39"/>
      <c r="AD25" s="36">
        <v>95</v>
      </c>
      <c r="AE25" s="36">
        <v>29.2</v>
      </c>
      <c r="AF25" s="36">
        <v>300</v>
      </c>
      <c r="AG25" s="40">
        <v>6</v>
      </c>
      <c r="AH25" s="40">
        <v>12</v>
      </c>
      <c r="AI25" s="36">
        <v>840</v>
      </c>
      <c r="AJ25" s="40" t="s">
        <v>180</v>
      </c>
      <c r="AK25" s="36">
        <v>21</v>
      </c>
      <c r="AL25" s="37"/>
      <c r="AM25" s="36">
        <v>3</v>
      </c>
      <c r="AN25" s="44" t="s">
        <v>244</v>
      </c>
      <c r="AO25" s="42" t="s">
        <v>157</v>
      </c>
      <c r="AP25" s="40">
        <v>3</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216</v>
      </c>
      <c r="C26" s="1" t="s">
        <v>179</v>
      </c>
      <c r="D26" s="1">
        <v>290077835</v>
      </c>
      <c r="E26" s="1" t="s">
        <v>212</v>
      </c>
      <c r="F26" s="45" t="s">
        <v>91</v>
      </c>
      <c r="G26" s="1">
        <v>1</v>
      </c>
      <c r="H26" s="1" t="s">
        <v>22</v>
      </c>
      <c r="J26" s="1" t="s">
        <v>176</v>
      </c>
      <c r="K26" s="1" t="s">
        <v>186</v>
      </c>
      <c r="L26" s="1" t="s">
        <v>1</v>
      </c>
      <c r="M26" s="31"/>
      <c r="O26" s="1">
        <v>2</v>
      </c>
      <c r="P26" s="1">
        <v>0</v>
      </c>
      <c r="Q26" s="1">
        <v>1</v>
      </c>
      <c r="R26" s="1">
        <v>0</v>
      </c>
      <c r="S26" s="1" t="s">
        <v>179</v>
      </c>
      <c r="T26" s="1">
        <v>3</v>
      </c>
      <c r="U26" s="31"/>
      <c r="AA26" s="1" t="s">
        <v>178</v>
      </c>
      <c r="AC26" s="31"/>
      <c r="AD26" s="1">
        <v>61</v>
      </c>
      <c r="AE26" s="1">
        <v>8.1</v>
      </c>
      <c r="AF26" s="1">
        <v>300</v>
      </c>
      <c r="AG26" s="35">
        <v>6</v>
      </c>
      <c r="AH26" s="35">
        <v>12</v>
      </c>
      <c r="AI26" s="1">
        <v>1140</v>
      </c>
      <c r="AJ26" s="35" t="s">
        <v>180</v>
      </c>
      <c r="AK26" s="1">
        <v>10</v>
      </c>
      <c r="AM26" s="1">
        <v>4</v>
      </c>
      <c r="AN26" s="43" t="s">
        <v>245</v>
      </c>
      <c r="AO26" s="33" t="s">
        <v>215</v>
      </c>
      <c r="AP26" s="35">
        <v>3</v>
      </c>
    </row>
    <row r="27" spans="1:72">
      <c r="A27" s="1">
        <v>5</v>
      </c>
      <c r="B27" s="1" t="s">
        <v>216</v>
      </c>
      <c r="C27" s="1" t="s">
        <v>189</v>
      </c>
      <c r="E27" s="1" t="s">
        <v>193</v>
      </c>
      <c r="F27" s="45" t="s">
        <v>32</v>
      </c>
      <c r="G27" s="1">
        <v>2</v>
      </c>
      <c r="H27" s="1" t="s">
        <v>220</v>
      </c>
      <c r="J27" s="1" t="s">
        <v>232</v>
      </c>
      <c r="K27" s="1" t="s">
        <v>189</v>
      </c>
      <c r="M27" s="31"/>
      <c r="U27" s="31"/>
      <c r="AC27" s="31"/>
      <c r="AG27" s="35">
        <v>6</v>
      </c>
      <c r="AH27" s="35">
        <v>12</v>
      </c>
      <c r="AI27" s="1">
        <v>1140</v>
      </c>
      <c r="AJ27" s="35" t="s">
        <v>180</v>
      </c>
      <c r="AK27" s="1">
        <v>10</v>
      </c>
      <c r="AM27" s="1">
        <v>5</v>
      </c>
      <c r="AN27" s="43" t="s">
        <v>246</v>
      </c>
      <c r="AO27" s="33" t="s">
        <v>189</v>
      </c>
      <c r="AP27" s="35">
        <v>3</v>
      </c>
    </row>
    <row r="28" spans="1:72">
      <c r="A28" s="11">
        <v>6</v>
      </c>
      <c r="B28" s="11" t="s">
        <v>216</v>
      </c>
      <c r="C28" s="11" t="s">
        <v>189</v>
      </c>
      <c r="D28" s="12"/>
      <c r="E28" s="11" t="s">
        <v>192</v>
      </c>
      <c r="F28" s="59" t="s">
        <v>37</v>
      </c>
      <c r="G28" s="11">
        <v>2</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v>
      </c>
      <c r="AH28" s="50">
        <v>12</v>
      </c>
      <c r="AI28" s="11">
        <v>1140</v>
      </c>
      <c r="AJ28" s="50" t="s">
        <v>180</v>
      </c>
      <c r="AK28" s="11">
        <v>6</v>
      </c>
      <c r="AL28" s="12"/>
      <c r="AM28" s="11">
        <v>6</v>
      </c>
      <c r="AN28" s="54" t="s">
        <v>246</v>
      </c>
      <c r="AO28" s="52" t="s">
        <v>189</v>
      </c>
      <c r="AP28" s="50">
        <v>3</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c r="A29" s="1">
        <v>1</v>
      </c>
      <c r="B29" s="1" t="s">
        <v>227</v>
      </c>
      <c r="C29" s="1" t="s">
        <v>179</v>
      </c>
      <c r="D29" s="1">
        <v>290077830</v>
      </c>
      <c r="E29" s="1" t="s">
        <v>247</v>
      </c>
      <c r="F29" s="45" t="s">
        <v>96</v>
      </c>
      <c r="G29" s="1">
        <v>1</v>
      </c>
      <c r="H29" s="1" t="s">
        <v>155</v>
      </c>
      <c r="I29" s="1" t="s">
        <v>1</v>
      </c>
      <c r="J29" s="1" t="s">
        <v>176</v>
      </c>
      <c r="K29" s="1" t="s">
        <v>186</v>
      </c>
      <c r="L29" s="1" t="s">
        <v>1</v>
      </c>
      <c r="M29" s="45" t="s">
        <v>22</v>
      </c>
      <c r="N29" s="1">
        <v>6</v>
      </c>
      <c r="O29" s="1">
        <v>3</v>
      </c>
      <c r="P29" s="1">
        <v>0</v>
      </c>
      <c r="Q29" s="1">
        <v>1</v>
      </c>
      <c r="R29" s="1">
        <v>0</v>
      </c>
      <c r="S29" s="1" t="s">
        <v>179</v>
      </c>
      <c r="T29" s="1">
        <v>4</v>
      </c>
      <c r="U29" s="31"/>
      <c r="AC29" s="31"/>
      <c r="AD29" s="1">
        <v>55</v>
      </c>
      <c r="AE29" s="1">
        <v>5.6</v>
      </c>
      <c r="AF29" s="1">
        <v>300</v>
      </c>
      <c r="AG29" s="35">
        <v>6</v>
      </c>
      <c r="AH29" s="35">
        <v>12</v>
      </c>
      <c r="AI29" s="1">
        <v>640</v>
      </c>
      <c r="AJ29" s="35" t="s">
        <v>180</v>
      </c>
      <c r="AK29" s="1">
        <v>7</v>
      </c>
      <c r="AN29" s="32"/>
      <c r="AO29" s="33" t="s">
        <v>215</v>
      </c>
      <c r="AP29" s="1">
        <v>4</v>
      </c>
    </row>
    <row r="30" spans="1:72">
      <c r="A30" s="1">
        <v>2</v>
      </c>
      <c r="B30" s="1" t="s">
        <v>227</v>
      </c>
      <c r="C30" s="1" t="s">
        <v>179</v>
      </c>
      <c r="D30" s="1">
        <v>172176235</v>
      </c>
      <c r="E30" s="1" t="s">
        <v>194</v>
      </c>
      <c r="F30" s="45" t="s">
        <v>98</v>
      </c>
      <c r="G30" s="1">
        <v>1</v>
      </c>
      <c r="H30" s="1" t="s">
        <v>155</v>
      </c>
      <c r="I30" s="1" t="s">
        <v>1</v>
      </c>
      <c r="J30" s="1" t="s">
        <v>176</v>
      </c>
      <c r="K30" s="1" t="s">
        <v>186</v>
      </c>
      <c r="L30" s="1" t="s">
        <v>1</v>
      </c>
      <c r="M30" s="45" t="s">
        <v>22</v>
      </c>
      <c r="N30" s="1">
        <v>5</v>
      </c>
      <c r="O30" s="1">
        <v>3</v>
      </c>
      <c r="P30" s="1">
        <v>0</v>
      </c>
      <c r="Q30" s="1">
        <v>0</v>
      </c>
      <c r="R30" s="1">
        <v>0</v>
      </c>
      <c r="S30" s="1" t="s">
        <v>179</v>
      </c>
      <c r="T30" s="1">
        <v>3</v>
      </c>
      <c r="U30" s="31"/>
      <c r="AC30" s="31"/>
      <c r="AD30" s="1">
        <v>92</v>
      </c>
      <c r="AE30" s="1">
        <v>28.6</v>
      </c>
      <c r="AF30" s="35">
        <v>300</v>
      </c>
      <c r="AG30" s="35">
        <v>6</v>
      </c>
      <c r="AH30" s="35">
        <v>12</v>
      </c>
      <c r="AI30" s="1">
        <v>740</v>
      </c>
      <c r="AJ30" s="35" t="s">
        <v>180</v>
      </c>
      <c r="AK30" s="1">
        <v>20</v>
      </c>
      <c r="AN30" s="32"/>
      <c r="AO30" s="33" t="s">
        <v>203</v>
      </c>
      <c r="AP30" s="35">
        <v>4</v>
      </c>
    </row>
    <row r="31" spans="1:72">
      <c r="A31" s="36">
        <v>3</v>
      </c>
      <c r="B31" s="36" t="s">
        <v>227</v>
      </c>
      <c r="C31" s="36" t="s">
        <v>179</v>
      </c>
      <c r="D31" s="36">
        <v>172176236</v>
      </c>
      <c r="E31" s="36" t="s">
        <v>248</v>
      </c>
      <c r="F31" s="58" t="s">
        <v>102</v>
      </c>
      <c r="G31" s="36">
        <v>5</v>
      </c>
      <c r="H31" s="36" t="s">
        <v>22</v>
      </c>
      <c r="I31" s="37"/>
      <c r="J31" s="36" t="s">
        <v>182</v>
      </c>
      <c r="K31" s="36" t="s">
        <v>186</v>
      </c>
      <c r="L31" s="36" t="s">
        <v>1</v>
      </c>
      <c r="M31" s="58" t="s">
        <v>22</v>
      </c>
      <c r="N31" s="36">
        <v>6</v>
      </c>
      <c r="O31" s="36">
        <v>3</v>
      </c>
      <c r="P31" s="36">
        <v>0</v>
      </c>
      <c r="Q31" s="36">
        <v>0</v>
      </c>
      <c r="R31" s="36">
        <v>0</v>
      </c>
      <c r="S31" s="36" t="s">
        <v>179</v>
      </c>
      <c r="T31" s="36">
        <v>1</v>
      </c>
      <c r="U31" s="39"/>
      <c r="V31" s="37"/>
      <c r="W31" s="37"/>
      <c r="X31" s="37"/>
      <c r="Y31" s="37"/>
      <c r="Z31" s="37"/>
      <c r="AA31" s="37"/>
      <c r="AB31" s="37"/>
      <c r="AC31" s="39"/>
      <c r="AD31" s="36">
        <v>87</v>
      </c>
      <c r="AE31" s="36">
        <v>26.3</v>
      </c>
      <c r="AF31" s="40">
        <v>300</v>
      </c>
      <c r="AG31" s="40">
        <v>6</v>
      </c>
      <c r="AH31" s="40">
        <v>12</v>
      </c>
      <c r="AI31" s="36">
        <v>840</v>
      </c>
      <c r="AJ31" s="40" t="s">
        <v>180</v>
      </c>
      <c r="AK31" s="36">
        <v>21</v>
      </c>
      <c r="AL31" s="37"/>
      <c r="AM31" s="36">
        <v>1</v>
      </c>
      <c r="AN31" s="44" t="s">
        <v>249</v>
      </c>
      <c r="AO31" s="42" t="s">
        <v>203</v>
      </c>
      <c r="AP31" s="40">
        <v>4</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4</v>
      </c>
      <c r="B32" s="1" t="s">
        <v>227</v>
      </c>
      <c r="C32" s="1" t="s">
        <v>179</v>
      </c>
      <c r="D32" s="1">
        <v>281191227</v>
      </c>
      <c r="E32" s="1" t="s">
        <v>199</v>
      </c>
      <c r="F32" s="45" t="s">
        <v>111</v>
      </c>
      <c r="G32" s="1">
        <v>1</v>
      </c>
      <c r="H32" s="1" t="s">
        <v>155</v>
      </c>
      <c r="I32" s="1" t="s">
        <v>178</v>
      </c>
      <c r="J32" s="1" t="s">
        <v>176</v>
      </c>
      <c r="K32" s="1" t="s">
        <v>177</v>
      </c>
      <c r="L32" s="1" t="s">
        <v>178</v>
      </c>
      <c r="M32" s="45" t="s">
        <v>22</v>
      </c>
      <c r="N32" s="1">
        <v>5</v>
      </c>
      <c r="O32" s="1">
        <v>0</v>
      </c>
      <c r="P32" s="1">
        <v>4</v>
      </c>
      <c r="Q32" s="1">
        <v>0</v>
      </c>
      <c r="R32" s="1">
        <v>0</v>
      </c>
      <c r="S32" s="1" t="s">
        <v>179</v>
      </c>
      <c r="T32" s="1">
        <v>2</v>
      </c>
      <c r="U32" s="31"/>
      <c r="AC32" s="31"/>
      <c r="AD32" s="1">
        <v>71</v>
      </c>
      <c r="AE32" s="1">
        <v>17</v>
      </c>
      <c r="AF32" s="35">
        <v>300</v>
      </c>
      <c r="AG32" s="35">
        <v>6</v>
      </c>
      <c r="AH32" s="35">
        <v>12</v>
      </c>
      <c r="AI32" s="1">
        <v>920</v>
      </c>
      <c r="AJ32" s="35" t="s">
        <v>180</v>
      </c>
      <c r="AK32" s="1">
        <v>10</v>
      </c>
      <c r="AM32" s="1">
        <v>2</v>
      </c>
      <c r="AN32" s="43" t="s">
        <v>250</v>
      </c>
      <c r="AO32" s="33">
        <v>1</v>
      </c>
      <c r="AP32" s="35">
        <v>4</v>
      </c>
    </row>
    <row r="33" spans="1:72">
      <c r="A33" s="1">
        <v>5</v>
      </c>
      <c r="B33" s="1" t="s">
        <v>227</v>
      </c>
      <c r="C33" s="1" t="s">
        <v>179</v>
      </c>
      <c r="D33" s="1">
        <v>135291870</v>
      </c>
      <c r="E33" s="1" t="s">
        <v>181</v>
      </c>
      <c r="F33" s="45" t="s">
        <v>115</v>
      </c>
      <c r="G33" s="1">
        <v>5</v>
      </c>
      <c r="H33" s="1" t="s">
        <v>1</v>
      </c>
      <c r="I33" s="1" t="s">
        <v>22</v>
      </c>
      <c r="J33" s="1" t="s">
        <v>182</v>
      </c>
      <c r="K33" s="1" t="s">
        <v>186</v>
      </c>
      <c r="L33" s="1" t="s">
        <v>1</v>
      </c>
      <c r="M33" s="45" t="s">
        <v>22</v>
      </c>
      <c r="N33" s="1">
        <v>5</v>
      </c>
      <c r="O33" s="1">
        <v>3</v>
      </c>
      <c r="P33" s="1">
        <v>0</v>
      </c>
      <c r="Q33" s="1">
        <v>0</v>
      </c>
      <c r="R33" s="1">
        <v>0</v>
      </c>
      <c r="S33" s="1" t="s">
        <v>179</v>
      </c>
      <c r="T33" s="1">
        <v>3</v>
      </c>
      <c r="U33" s="31"/>
      <c r="V33" s="1" t="s">
        <v>183</v>
      </c>
      <c r="AC33" s="31"/>
      <c r="AD33" s="1">
        <v>80</v>
      </c>
      <c r="AE33" s="1">
        <v>39</v>
      </c>
      <c r="AF33" s="35">
        <v>300</v>
      </c>
      <c r="AG33" s="35">
        <v>6</v>
      </c>
      <c r="AH33" s="35">
        <v>12</v>
      </c>
      <c r="AI33" s="1">
        <v>10</v>
      </c>
      <c r="AJ33" s="35" t="s">
        <v>180</v>
      </c>
      <c r="AK33" s="1">
        <v>5</v>
      </c>
      <c r="AM33" s="1">
        <v>3</v>
      </c>
      <c r="AN33" s="43" t="s">
        <v>251</v>
      </c>
      <c r="AO33" s="33">
        <v>2</v>
      </c>
      <c r="AP33" s="35">
        <v>4</v>
      </c>
    </row>
    <row r="34" spans="1:72">
      <c r="A34" s="36">
        <v>6</v>
      </c>
      <c r="B34" s="36" t="s">
        <v>227</v>
      </c>
      <c r="C34" s="36" t="s">
        <v>179</v>
      </c>
      <c r="D34" s="36">
        <v>288029941</v>
      </c>
      <c r="E34" s="36" t="s">
        <v>228</v>
      </c>
      <c r="F34" s="58" t="s">
        <v>120</v>
      </c>
      <c r="G34" s="36">
        <v>2</v>
      </c>
      <c r="H34" s="36" t="s">
        <v>155</v>
      </c>
      <c r="I34" s="36" t="s">
        <v>22</v>
      </c>
      <c r="J34" s="36" t="s">
        <v>200</v>
      </c>
      <c r="K34" s="36" t="s">
        <v>189</v>
      </c>
      <c r="L34" s="37"/>
      <c r="M34" s="39"/>
      <c r="N34" s="36">
        <v>3</v>
      </c>
      <c r="O34" s="36">
        <v>0</v>
      </c>
      <c r="P34" s="36">
        <v>0</v>
      </c>
      <c r="Q34" s="36">
        <v>1</v>
      </c>
      <c r="R34" s="36">
        <v>2</v>
      </c>
      <c r="S34" s="36" t="s">
        <v>179</v>
      </c>
      <c r="T34" s="36">
        <v>1</v>
      </c>
      <c r="U34" s="58">
        <v>3</v>
      </c>
      <c r="V34" s="37"/>
      <c r="W34" s="37"/>
      <c r="X34" s="37"/>
      <c r="Y34" s="37"/>
      <c r="Z34" s="37"/>
      <c r="AA34" s="37"/>
      <c r="AB34" s="37"/>
      <c r="AC34" s="39"/>
      <c r="AD34" s="36">
        <v>54</v>
      </c>
      <c r="AE34" s="36">
        <v>8</v>
      </c>
      <c r="AF34" s="40">
        <v>300</v>
      </c>
      <c r="AG34" s="40">
        <v>6</v>
      </c>
      <c r="AH34" s="40">
        <v>12</v>
      </c>
      <c r="AI34" s="36">
        <v>10</v>
      </c>
      <c r="AJ34" s="40" t="s">
        <v>180</v>
      </c>
      <c r="AK34" s="36">
        <v>15</v>
      </c>
      <c r="AL34" s="37"/>
      <c r="AM34" s="37"/>
      <c r="AN34" s="41"/>
      <c r="AO34" s="42">
        <v>0</v>
      </c>
      <c r="AP34" s="40">
        <v>4</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7</v>
      </c>
      <c r="B35" s="1" t="s">
        <v>227</v>
      </c>
      <c r="C35" s="1" t="s">
        <v>179</v>
      </c>
      <c r="D35" s="1">
        <v>290077832</v>
      </c>
      <c r="E35" s="1" t="s">
        <v>235</v>
      </c>
      <c r="F35" s="45" t="s">
        <v>70</v>
      </c>
      <c r="G35" s="1">
        <v>1</v>
      </c>
      <c r="H35" s="1" t="s">
        <v>155</v>
      </c>
      <c r="J35" s="1" t="s">
        <v>176</v>
      </c>
      <c r="K35" s="1" t="s">
        <v>189</v>
      </c>
      <c r="M35" s="31"/>
      <c r="N35" s="1">
        <v>6</v>
      </c>
      <c r="O35" s="1">
        <v>0</v>
      </c>
      <c r="P35" s="1">
        <v>0</v>
      </c>
      <c r="Q35" s="1">
        <v>1</v>
      </c>
      <c r="R35" s="1">
        <v>0</v>
      </c>
      <c r="S35" s="1" t="s">
        <v>179</v>
      </c>
      <c r="T35" s="1">
        <v>4</v>
      </c>
      <c r="U35" s="31"/>
      <c r="AC35" s="31"/>
      <c r="AD35" s="1">
        <v>58</v>
      </c>
      <c r="AE35" s="1">
        <v>9.9</v>
      </c>
      <c r="AF35" s="35">
        <v>300</v>
      </c>
      <c r="AG35" s="35">
        <v>6</v>
      </c>
      <c r="AH35" s="35">
        <v>12</v>
      </c>
      <c r="AI35" s="1">
        <v>1130</v>
      </c>
      <c r="AJ35" s="35" t="s">
        <v>180</v>
      </c>
      <c r="AK35" s="1">
        <v>6</v>
      </c>
      <c r="AM35" s="1">
        <v>4</v>
      </c>
      <c r="AN35" s="43" t="s">
        <v>252</v>
      </c>
      <c r="AO35" s="33" t="s">
        <v>215</v>
      </c>
      <c r="AP35" s="35">
        <v>4</v>
      </c>
    </row>
    <row r="36" spans="1:72">
      <c r="A36" s="1">
        <v>8</v>
      </c>
      <c r="B36" s="1" t="s">
        <v>227</v>
      </c>
      <c r="C36" s="1" t="s">
        <v>157</v>
      </c>
      <c r="D36" s="1">
        <v>172176223</v>
      </c>
      <c r="E36" s="1" t="s">
        <v>194</v>
      </c>
      <c r="F36" s="45" t="s">
        <v>98</v>
      </c>
      <c r="G36" s="1">
        <v>1</v>
      </c>
      <c r="H36" s="1" t="s">
        <v>155</v>
      </c>
      <c r="I36" s="1" t="s">
        <v>1</v>
      </c>
      <c r="J36" s="1" t="s">
        <v>176</v>
      </c>
      <c r="K36" s="1" t="s">
        <v>186</v>
      </c>
      <c r="L36" s="1" t="s">
        <v>1</v>
      </c>
      <c r="M36" s="45" t="s">
        <v>22</v>
      </c>
      <c r="N36" s="1">
        <v>5</v>
      </c>
      <c r="O36" s="1">
        <v>3</v>
      </c>
      <c r="P36" s="1">
        <v>0</v>
      </c>
      <c r="Q36" s="1">
        <v>0</v>
      </c>
      <c r="R36" s="1">
        <v>0</v>
      </c>
      <c r="S36" s="1" t="s">
        <v>179</v>
      </c>
      <c r="T36" s="1">
        <v>2</v>
      </c>
      <c r="U36" s="31"/>
      <c r="AC36" s="31"/>
      <c r="AD36" s="1">
        <v>96</v>
      </c>
      <c r="AE36" s="1">
        <v>30.8</v>
      </c>
      <c r="AF36" s="35">
        <v>300</v>
      </c>
      <c r="AG36" s="35">
        <v>6</v>
      </c>
      <c r="AH36" s="35">
        <v>12</v>
      </c>
      <c r="AI36" s="1">
        <v>11</v>
      </c>
      <c r="AJ36" s="35" t="s">
        <v>180</v>
      </c>
      <c r="AK36" s="1">
        <v>2</v>
      </c>
      <c r="AN36" s="32"/>
      <c r="AO36" s="33" t="s">
        <v>157</v>
      </c>
      <c r="AP36" s="35">
        <v>4</v>
      </c>
    </row>
    <row r="37" spans="1:72">
      <c r="A37" s="11">
        <v>9</v>
      </c>
      <c r="B37" s="11" t="s">
        <v>227</v>
      </c>
      <c r="C37" s="11" t="s">
        <v>179</v>
      </c>
      <c r="D37" s="11">
        <v>290077834</v>
      </c>
      <c r="E37" s="11" t="s">
        <v>204</v>
      </c>
      <c r="F37" s="59" t="s">
        <v>88</v>
      </c>
      <c r="G37" s="11">
        <v>1</v>
      </c>
      <c r="H37" s="11" t="s">
        <v>155</v>
      </c>
      <c r="I37" s="12"/>
      <c r="J37" s="11" t="s">
        <v>176</v>
      </c>
      <c r="K37" s="11" t="s">
        <v>189</v>
      </c>
      <c r="L37" s="12"/>
      <c r="M37" s="49"/>
      <c r="N37" s="11">
        <v>6</v>
      </c>
      <c r="O37" s="11">
        <v>0</v>
      </c>
      <c r="P37" s="11">
        <v>0</v>
      </c>
      <c r="Q37" s="11">
        <v>2</v>
      </c>
      <c r="R37" s="11">
        <v>0</v>
      </c>
      <c r="S37" s="11" t="s">
        <v>155</v>
      </c>
      <c r="T37" s="11">
        <v>2</v>
      </c>
      <c r="U37" s="49"/>
      <c r="V37" s="12"/>
      <c r="W37" s="12"/>
      <c r="X37" s="12"/>
      <c r="Y37" s="12"/>
      <c r="Z37" s="12"/>
      <c r="AA37" s="12"/>
      <c r="AB37" s="12"/>
      <c r="AC37" s="49"/>
      <c r="AD37" s="11">
        <v>59</v>
      </c>
      <c r="AE37" s="11">
        <v>9.5</v>
      </c>
      <c r="AF37" s="50">
        <v>300</v>
      </c>
      <c r="AG37" s="50">
        <v>6</v>
      </c>
      <c r="AH37" s="50">
        <v>12</v>
      </c>
      <c r="AI37" s="11">
        <v>1140</v>
      </c>
      <c r="AJ37" s="50" t="s">
        <v>180</v>
      </c>
      <c r="AK37" s="11">
        <v>10</v>
      </c>
      <c r="AL37" s="12"/>
      <c r="AM37" s="11">
        <v>5</v>
      </c>
      <c r="AN37" s="54" t="s">
        <v>253</v>
      </c>
      <c r="AO37" s="52" t="s">
        <v>215</v>
      </c>
      <c r="AP37" s="50">
        <v>4</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c r="F38" s="31"/>
      <c r="M38" s="31"/>
      <c r="U38" s="31"/>
      <c r="AC38" s="31"/>
      <c r="AN38" s="32"/>
      <c r="AO38" s="57"/>
    </row>
    <row r="39" spans="1:72">
      <c r="F39" s="31"/>
      <c r="M39" s="31"/>
      <c r="U39" s="31"/>
      <c r="AC39" s="31"/>
      <c r="AN39" s="32"/>
      <c r="AO39" s="57"/>
    </row>
    <row r="40" spans="1:72">
      <c r="F40" s="31"/>
      <c r="M40" s="31"/>
      <c r="U40" s="31"/>
      <c r="AC40" s="31"/>
      <c r="AN40" s="32"/>
      <c r="AO40" s="57"/>
    </row>
    <row r="41" spans="1:72">
      <c r="F41" s="31"/>
      <c r="M41" s="31"/>
      <c r="U41" s="31"/>
      <c r="AC41" s="31"/>
      <c r="AN41" s="32"/>
      <c r="AO41" s="57"/>
    </row>
    <row r="42" spans="1:72">
      <c r="F42" s="31"/>
      <c r="M42" s="31"/>
      <c r="U42" s="31"/>
      <c r="AC42" s="31"/>
      <c r="AN42" s="32"/>
      <c r="AO42" s="57"/>
    </row>
    <row r="43" spans="1:72">
      <c r="F43" s="31"/>
      <c r="M43" s="31"/>
      <c r="U43" s="31"/>
      <c r="AC43" s="31"/>
      <c r="AN43" s="32"/>
      <c r="AO43" s="57"/>
    </row>
    <row r="44" spans="1:72">
      <c r="F44" s="31"/>
      <c r="M44" s="31"/>
      <c r="U44" s="31"/>
      <c r="AC44" s="31"/>
      <c r="AN44" s="32"/>
      <c r="AO44" s="57"/>
    </row>
    <row r="45" spans="1:72">
      <c r="F45" s="31"/>
      <c r="M45" s="31"/>
      <c r="U45" s="31"/>
      <c r="AC45" s="31"/>
      <c r="AN45" s="32"/>
      <c r="AO45" s="57"/>
    </row>
    <row r="46" spans="1:72">
      <c r="F46" s="31"/>
      <c r="M46" s="31"/>
      <c r="U46" s="31"/>
      <c r="AC46" s="31"/>
      <c r="AN46" s="32"/>
      <c r="AO46" s="57"/>
    </row>
    <row r="47" spans="1:72">
      <c r="F47" s="31"/>
      <c r="M47" s="31"/>
      <c r="U47" s="31"/>
      <c r="AC47" s="31"/>
      <c r="AN47" s="32"/>
      <c r="AO47" s="57"/>
    </row>
    <row r="48" spans="1:72">
      <c r="F48" s="31"/>
      <c r="M48" s="31"/>
      <c r="U48" s="31"/>
      <c r="AC48" s="31"/>
      <c r="AN48" s="32"/>
      <c r="AO48" s="57"/>
    </row>
    <row r="49" spans="6:41">
      <c r="F49" s="31"/>
      <c r="M49" s="31"/>
      <c r="U49" s="31"/>
      <c r="AC49" s="31"/>
      <c r="AN49" s="32"/>
      <c r="AO49" s="57"/>
    </row>
    <row r="50" spans="6:41">
      <c r="F50" s="31"/>
      <c r="M50" s="31"/>
      <c r="U50" s="31"/>
      <c r="AC50" s="31"/>
      <c r="AN50" s="32"/>
      <c r="AO50" s="57"/>
    </row>
    <row r="51" spans="6:41">
      <c r="F51" s="31"/>
      <c r="M51" s="31"/>
      <c r="U51" s="31"/>
      <c r="AC51" s="31"/>
      <c r="AN51" s="32"/>
      <c r="AO51" s="57"/>
    </row>
    <row r="52" spans="6:41">
      <c r="F52" s="31"/>
      <c r="M52" s="31"/>
      <c r="U52" s="31"/>
      <c r="AC52" s="31"/>
      <c r="AN52" s="32"/>
      <c r="AO52" s="57"/>
    </row>
    <row r="53" spans="6:41">
      <c r="F53" s="31"/>
      <c r="M53" s="31"/>
      <c r="U53" s="31"/>
      <c r="AC53" s="31"/>
      <c r="AN53" s="32"/>
      <c r="AO53" s="57"/>
    </row>
    <row r="54" spans="6:41">
      <c r="F54" s="31"/>
      <c r="M54" s="31"/>
      <c r="U54" s="31"/>
      <c r="AC54" s="31"/>
      <c r="AN54" s="32"/>
      <c r="AO54" s="57"/>
    </row>
    <row r="55" spans="6:41">
      <c r="F55" s="31"/>
      <c r="M55" s="31"/>
      <c r="U55" s="31"/>
      <c r="AC55" s="31"/>
      <c r="AN55" s="32"/>
      <c r="AO55" s="57"/>
    </row>
    <row r="56" spans="6:41">
      <c r="F56" s="31"/>
      <c r="M56" s="31"/>
      <c r="U56" s="31"/>
      <c r="AC56" s="31"/>
      <c r="AN56" s="32"/>
      <c r="AO56" s="57"/>
    </row>
    <row r="57" spans="6:41">
      <c r="F57" s="31"/>
      <c r="M57" s="31"/>
      <c r="U57" s="31"/>
      <c r="AC57" s="31"/>
      <c r="AN57" s="32"/>
      <c r="AO57" s="57"/>
    </row>
    <row r="58" spans="6:41">
      <c r="F58" s="31"/>
      <c r="M58" s="31"/>
      <c r="U58" s="31"/>
      <c r="AC58" s="31"/>
      <c r="AN58" s="32"/>
      <c r="AO58" s="57"/>
    </row>
    <row r="59" spans="6:41">
      <c r="F59" s="31"/>
      <c r="M59" s="31"/>
      <c r="U59" s="31"/>
      <c r="AC59" s="31"/>
      <c r="AN59" s="32"/>
      <c r="AO59" s="57"/>
    </row>
    <row r="60" spans="6:41">
      <c r="F60" s="31"/>
      <c r="M60" s="31"/>
      <c r="U60" s="31"/>
      <c r="AC60" s="31"/>
      <c r="AN60" s="32"/>
      <c r="AO60" s="57"/>
    </row>
    <row r="61" spans="6:41">
      <c r="F61" s="31"/>
      <c r="M61" s="31"/>
      <c r="U61" s="31"/>
      <c r="AC61" s="31"/>
      <c r="AN61" s="32"/>
      <c r="AO61" s="57"/>
    </row>
    <row r="62" spans="6:41">
      <c r="F62" s="31"/>
      <c r="M62" s="31"/>
      <c r="U62" s="31"/>
      <c r="AC62" s="31"/>
      <c r="AN62" s="32"/>
      <c r="AO62" s="57"/>
    </row>
    <row r="63" spans="6:41">
      <c r="F63" s="31"/>
      <c r="M63" s="31"/>
      <c r="U63" s="31"/>
      <c r="AC63" s="31"/>
      <c r="AN63" s="32"/>
      <c r="AO63" s="57"/>
    </row>
    <row r="64" spans="6:41">
      <c r="F64" s="31"/>
      <c r="M64" s="31"/>
      <c r="U64" s="31"/>
      <c r="AC64" s="31"/>
      <c r="AN64" s="32"/>
      <c r="AO64" s="57"/>
    </row>
    <row r="65" spans="6:41">
      <c r="F65" s="31"/>
      <c r="M65" s="31"/>
      <c r="U65" s="31"/>
      <c r="AC65" s="31"/>
      <c r="AN65" s="32"/>
      <c r="AO65" s="57"/>
    </row>
    <row r="66" spans="6:41">
      <c r="F66" s="31"/>
      <c r="M66" s="31"/>
      <c r="U66" s="31"/>
      <c r="AC66" s="31"/>
      <c r="AN66" s="32"/>
      <c r="AO66" s="57"/>
    </row>
    <row r="67" spans="6:41">
      <c r="F67" s="31"/>
      <c r="M67" s="31"/>
      <c r="U67" s="31"/>
      <c r="AC67" s="31"/>
      <c r="AN67" s="32"/>
      <c r="AO67" s="57"/>
    </row>
    <row r="68" spans="6:41">
      <c r="F68" s="31"/>
      <c r="M68" s="31"/>
      <c r="U68" s="31"/>
      <c r="AC68" s="31"/>
      <c r="AN68" s="32"/>
      <c r="AO68" s="57"/>
    </row>
    <row r="69" spans="6:41">
      <c r="F69" s="31"/>
      <c r="M69" s="31"/>
      <c r="U69" s="31"/>
      <c r="AC69" s="31"/>
      <c r="AN69" s="32"/>
      <c r="AO69" s="57"/>
    </row>
    <row r="70" spans="6:41">
      <c r="F70" s="31"/>
      <c r="M70" s="31"/>
      <c r="U70" s="31"/>
      <c r="AC70" s="31"/>
      <c r="AN70" s="32"/>
      <c r="AO70" s="57"/>
    </row>
    <row r="71" spans="6:41">
      <c r="F71" s="31"/>
      <c r="M71" s="31"/>
      <c r="U71" s="31"/>
      <c r="AC71" s="31"/>
      <c r="AN71" s="32"/>
      <c r="AO71" s="57"/>
    </row>
    <row r="72" spans="6:41">
      <c r="F72" s="31"/>
      <c r="M72" s="31"/>
      <c r="U72" s="31"/>
      <c r="AC72" s="31"/>
      <c r="AN72" s="32"/>
      <c r="AO72" s="57"/>
    </row>
    <row r="73" spans="6:41">
      <c r="F73" s="31"/>
      <c r="M73" s="31"/>
      <c r="U73" s="31"/>
      <c r="AC73" s="31"/>
      <c r="AN73" s="32"/>
      <c r="AO73" s="57"/>
    </row>
    <row r="74" spans="6:41">
      <c r="F74" s="31"/>
      <c r="M74" s="31"/>
      <c r="U74" s="31"/>
      <c r="AC74" s="31"/>
      <c r="AN74" s="32"/>
      <c r="AO74" s="57"/>
    </row>
    <row r="75" spans="6:41">
      <c r="F75" s="31"/>
      <c r="M75" s="31"/>
      <c r="U75" s="31"/>
      <c r="AC75" s="31"/>
      <c r="AN75" s="32"/>
      <c r="AO75" s="57"/>
    </row>
    <row r="76" spans="6:41">
      <c r="F76" s="31"/>
      <c r="M76" s="31"/>
      <c r="U76" s="31"/>
      <c r="AC76" s="31"/>
      <c r="AN76" s="32"/>
      <c r="AO76" s="57"/>
    </row>
    <row r="77" spans="6:41">
      <c r="F77" s="31"/>
      <c r="M77" s="31"/>
      <c r="U77" s="31"/>
      <c r="AC77" s="31"/>
      <c r="AN77" s="32"/>
      <c r="AO77" s="57"/>
    </row>
    <row r="78" spans="6:41">
      <c r="F78" s="31"/>
      <c r="M78" s="31"/>
      <c r="U78" s="31"/>
      <c r="AC78" s="31"/>
      <c r="AN78" s="32"/>
      <c r="AO78" s="57"/>
    </row>
    <row r="79" spans="6:41">
      <c r="F79" s="31"/>
      <c r="M79" s="31"/>
      <c r="U79" s="31"/>
      <c r="AC79" s="31"/>
      <c r="AN79" s="32"/>
      <c r="AO79" s="57"/>
    </row>
    <row r="80" spans="6:41">
      <c r="F80" s="31"/>
      <c r="M80" s="31"/>
      <c r="U80" s="31"/>
      <c r="AC80" s="31"/>
      <c r="AN80" s="32"/>
      <c r="AO80" s="57"/>
    </row>
    <row r="81" spans="6:41">
      <c r="F81" s="31"/>
      <c r="M81" s="31"/>
      <c r="U81" s="31"/>
      <c r="AC81" s="31"/>
      <c r="AN81" s="32"/>
      <c r="AO81" s="57"/>
    </row>
    <row r="82" spans="6:41">
      <c r="F82" s="31"/>
      <c r="M82" s="31"/>
      <c r="U82" s="31"/>
      <c r="AC82" s="31"/>
      <c r="AN82" s="32"/>
      <c r="AO82" s="57"/>
    </row>
    <row r="83" spans="6:41">
      <c r="F83" s="31"/>
      <c r="M83" s="31"/>
      <c r="U83" s="31"/>
      <c r="AC83" s="31"/>
      <c r="AN83" s="32"/>
      <c r="AO83" s="57"/>
    </row>
    <row r="84" spans="6:41">
      <c r="F84" s="31"/>
      <c r="M84" s="31"/>
      <c r="U84" s="31"/>
      <c r="AC84" s="31"/>
      <c r="AN84" s="32"/>
      <c r="AO84" s="57"/>
    </row>
    <row r="85" spans="6:41">
      <c r="F85" s="31"/>
      <c r="M85" s="31"/>
      <c r="U85" s="31"/>
      <c r="AC85" s="31"/>
      <c r="AN85" s="32"/>
      <c r="AO85" s="57"/>
    </row>
    <row r="86" spans="6:41">
      <c r="F86" s="31"/>
      <c r="M86" s="31"/>
      <c r="U86" s="31"/>
      <c r="AC86" s="31"/>
      <c r="AN86" s="32"/>
      <c r="AO86" s="57"/>
    </row>
    <row r="87" spans="6:41">
      <c r="F87" s="31"/>
      <c r="M87" s="31"/>
      <c r="U87" s="31"/>
      <c r="AC87" s="31"/>
      <c r="AN87" s="32"/>
      <c r="AO87" s="57"/>
    </row>
    <row r="88" spans="6:41">
      <c r="F88" s="31"/>
      <c r="M88" s="31"/>
      <c r="U88" s="31"/>
      <c r="AC88" s="31"/>
      <c r="AN88" s="32"/>
      <c r="AO88" s="57"/>
    </row>
    <row r="89" spans="6:41">
      <c r="F89" s="31"/>
      <c r="M89" s="31"/>
      <c r="U89" s="31"/>
      <c r="AC89" s="31"/>
      <c r="AN89" s="32"/>
      <c r="AO89" s="57"/>
    </row>
    <row r="90" spans="6:41">
      <c r="F90" s="31"/>
      <c r="M90" s="31"/>
      <c r="U90" s="31"/>
      <c r="AC90" s="31"/>
      <c r="AN90" s="32"/>
      <c r="AO90" s="57"/>
    </row>
    <row r="91" spans="6:41">
      <c r="F91" s="31"/>
      <c r="M91" s="31"/>
      <c r="U91" s="31"/>
      <c r="AC91" s="31"/>
      <c r="AN91" s="32"/>
      <c r="AO91" s="57"/>
    </row>
    <row r="92" spans="6:41">
      <c r="F92" s="31"/>
      <c r="M92" s="31"/>
      <c r="U92" s="31"/>
      <c r="AC92" s="31"/>
      <c r="AN92" s="32"/>
      <c r="AO92" s="57"/>
    </row>
    <row r="93" spans="6:41">
      <c r="F93" s="31"/>
      <c r="M93" s="31"/>
      <c r="U93" s="31"/>
      <c r="AC93" s="31"/>
      <c r="AN93" s="32"/>
      <c r="AO93" s="57"/>
    </row>
    <row r="94" spans="6:41">
      <c r="F94" s="31"/>
      <c r="M94" s="31"/>
      <c r="U94" s="31"/>
      <c r="AC94" s="31"/>
      <c r="AN94" s="32"/>
      <c r="AO94" s="57"/>
    </row>
    <row r="95" spans="6:41">
      <c r="F95" s="31"/>
      <c r="M95" s="31"/>
      <c r="U95" s="31"/>
      <c r="AC95" s="31"/>
      <c r="AN95" s="32"/>
      <c r="AO95" s="57"/>
    </row>
    <row r="96" spans="6:41">
      <c r="F96" s="31"/>
      <c r="M96" s="31"/>
      <c r="U96" s="31"/>
      <c r="AC96" s="31"/>
      <c r="AN96" s="32"/>
      <c r="AO96" s="57"/>
    </row>
    <row r="97" spans="6:41">
      <c r="F97" s="31"/>
      <c r="M97" s="31"/>
      <c r="U97" s="31"/>
      <c r="AC97" s="31"/>
      <c r="AN97" s="32"/>
      <c r="AO97" s="57"/>
    </row>
    <row r="98" spans="6:41">
      <c r="F98" s="31"/>
      <c r="M98" s="31"/>
      <c r="U98" s="31"/>
      <c r="AC98" s="31"/>
      <c r="AN98" s="32"/>
      <c r="AO98" s="57"/>
    </row>
    <row r="99" spans="6:41">
      <c r="F99" s="31"/>
      <c r="M99" s="31"/>
      <c r="U99" s="31"/>
      <c r="AC99" s="31"/>
      <c r="AN99" s="32"/>
      <c r="AO99" s="57"/>
    </row>
    <row r="100" spans="6:41">
      <c r="F100" s="31"/>
      <c r="M100" s="31"/>
      <c r="U100" s="31"/>
      <c r="AC100" s="31"/>
      <c r="AN100" s="32"/>
      <c r="AO100" s="57"/>
    </row>
    <row r="101" spans="6:41">
      <c r="F101" s="31"/>
      <c r="M101" s="31"/>
      <c r="U101" s="31"/>
      <c r="AC101" s="31"/>
      <c r="AN101" s="32"/>
      <c r="AO101" s="57"/>
    </row>
    <row r="102" spans="6:41">
      <c r="F102" s="31"/>
      <c r="M102" s="31"/>
      <c r="U102" s="31"/>
      <c r="AC102" s="31"/>
      <c r="AN102" s="32"/>
      <c r="AO102" s="57"/>
    </row>
    <row r="103" spans="6:41">
      <c r="F103" s="31"/>
      <c r="M103" s="31"/>
      <c r="U103" s="31"/>
      <c r="AC103" s="31"/>
      <c r="AN103" s="32"/>
      <c r="AO103" s="57"/>
    </row>
    <row r="104" spans="6:41">
      <c r="F104" s="31"/>
      <c r="M104" s="31"/>
      <c r="U104" s="31"/>
      <c r="AC104" s="31"/>
      <c r="AN104" s="32"/>
      <c r="AO104" s="57"/>
    </row>
    <row r="105" spans="6:41">
      <c r="F105" s="31"/>
      <c r="M105" s="31"/>
      <c r="U105" s="31"/>
      <c r="AC105" s="31"/>
      <c r="AN105" s="32"/>
      <c r="AO105" s="57"/>
    </row>
    <row r="106" spans="6:41">
      <c r="F106" s="31"/>
      <c r="M106" s="31"/>
      <c r="U106" s="31"/>
      <c r="AC106" s="31"/>
      <c r="AN106" s="32"/>
      <c r="AO106" s="57"/>
    </row>
    <row r="107" spans="6:41">
      <c r="F107" s="31"/>
      <c r="M107" s="31"/>
      <c r="U107" s="31"/>
      <c r="AC107" s="31"/>
      <c r="AN107" s="32"/>
      <c r="AO107" s="57"/>
    </row>
    <row r="108" spans="6:41">
      <c r="F108" s="31"/>
      <c r="M108" s="31"/>
      <c r="U108" s="31"/>
      <c r="AC108" s="31"/>
      <c r="AN108" s="32"/>
      <c r="AO108" s="57"/>
    </row>
    <row r="109" spans="6:41">
      <c r="F109" s="31"/>
      <c r="M109" s="31"/>
      <c r="U109" s="31"/>
      <c r="AC109" s="31"/>
      <c r="AN109" s="32"/>
      <c r="AO109" s="57"/>
    </row>
    <row r="110" spans="6:41">
      <c r="F110" s="31"/>
      <c r="M110" s="31"/>
      <c r="U110" s="31"/>
      <c r="AC110" s="31"/>
      <c r="AN110" s="32"/>
      <c r="AO110" s="57"/>
    </row>
    <row r="111" spans="6:41">
      <c r="F111" s="31"/>
      <c r="M111" s="31"/>
      <c r="U111" s="31"/>
      <c r="AC111" s="31"/>
      <c r="AN111" s="32"/>
      <c r="AO111" s="57"/>
    </row>
    <row r="112" spans="6:41">
      <c r="F112" s="31"/>
      <c r="M112" s="31"/>
      <c r="U112" s="31"/>
      <c r="AC112" s="31"/>
      <c r="AN112" s="32"/>
      <c r="AO112" s="57"/>
    </row>
    <row r="113" spans="6:41">
      <c r="F113" s="31"/>
      <c r="M113" s="31"/>
      <c r="U113" s="31"/>
      <c r="AC113" s="31"/>
      <c r="AN113" s="32"/>
      <c r="AO113" s="57"/>
    </row>
    <row r="114" spans="6:41">
      <c r="F114" s="31"/>
      <c r="M114" s="31"/>
      <c r="U114" s="31"/>
      <c r="AC114" s="31"/>
      <c r="AN114" s="32"/>
      <c r="AO114" s="57"/>
    </row>
    <row r="115" spans="6:41">
      <c r="F115" s="31"/>
      <c r="M115" s="31"/>
      <c r="U115" s="31"/>
      <c r="AC115" s="31"/>
      <c r="AN115" s="32"/>
      <c r="AO115" s="57"/>
    </row>
    <row r="116" spans="6:41">
      <c r="F116" s="31"/>
      <c r="M116" s="31"/>
      <c r="U116" s="31"/>
      <c r="AC116" s="31"/>
      <c r="AN116" s="32"/>
      <c r="AO116" s="57"/>
    </row>
    <row r="117" spans="6:41">
      <c r="F117" s="31"/>
      <c r="M117" s="31"/>
      <c r="U117" s="31"/>
      <c r="AC117" s="31"/>
      <c r="AN117" s="32"/>
      <c r="AO117" s="57"/>
    </row>
    <row r="118" spans="6:41">
      <c r="F118" s="31"/>
      <c r="M118" s="31"/>
      <c r="U118" s="31"/>
      <c r="AC118" s="31"/>
      <c r="AN118" s="32"/>
      <c r="AO118" s="57"/>
    </row>
    <row r="119" spans="6:41">
      <c r="F119" s="31"/>
      <c r="M119" s="31"/>
      <c r="U119" s="31"/>
      <c r="AC119" s="31"/>
      <c r="AN119" s="32"/>
      <c r="AO119" s="57"/>
    </row>
    <row r="120" spans="6:41">
      <c r="F120" s="31"/>
      <c r="M120" s="31"/>
      <c r="U120" s="31"/>
      <c r="AC120" s="31"/>
      <c r="AN120" s="32"/>
      <c r="AO120" s="57"/>
    </row>
    <row r="121" spans="6:41">
      <c r="F121" s="31"/>
      <c r="M121" s="31"/>
      <c r="U121" s="31"/>
      <c r="AC121" s="31"/>
      <c r="AN121" s="32"/>
      <c r="AO121" s="57"/>
    </row>
    <row r="122" spans="6:41">
      <c r="F122" s="31"/>
      <c r="M122" s="31"/>
      <c r="U122" s="31"/>
      <c r="AC122" s="31"/>
      <c r="AN122" s="32"/>
      <c r="AO122" s="57"/>
    </row>
    <row r="123" spans="6:41">
      <c r="F123" s="31"/>
      <c r="M123" s="31"/>
      <c r="U123" s="31"/>
      <c r="AC123" s="31"/>
      <c r="AN123" s="32"/>
      <c r="AO123" s="57"/>
    </row>
    <row r="124" spans="6:41">
      <c r="F124" s="31"/>
      <c r="M124" s="31"/>
      <c r="U124" s="31"/>
      <c r="AC124" s="31"/>
      <c r="AN124" s="32"/>
      <c r="AO124" s="57"/>
    </row>
    <row r="125" spans="6:41">
      <c r="F125" s="31"/>
      <c r="M125" s="31"/>
      <c r="U125" s="31"/>
      <c r="AC125" s="31"/>
      <c r="AN125" s="32"/>
      <c r="AO125" s="57"/>
    </row>
    <row r="126" spans="6:41">
      <c r="F126" s="31"/>
      <c r="M126" s="31"/>
      <c r="U126" s="31"/>
      <c r="AC126" s="31"/>
      <c r="AN126" s="32"/>
      <c r="AO126" s="57"/>
    </row>
    <row r="127" spans="6:41">
      <c r="F127" s="31"/>
      <c r="M127" s="31"/>
      <c r="U127" s="31"/>
      <c r="AC127" s="31"/>
      <c r="AN127" s="32"/>
      <c r="AO127" s="57"/>
    </row>
    <row r="128" spans="6:41">
      <c r="F128" s="31"/>
      <c r="M128" s="31"/>
      <c r="U128" s="31"/>
      <c r="AC128" s="31"/>
      <c r="AN128" s="32"/>
      <c r="AO128" s="57"/>
    </row>
    <row r="129" spans="6:41">
      <c r="F129" s="31"/>
      <c r="M129" s="31"/>
      <c r="U129" s="31"/>
      <c r="AC129" s="31"/>
      <c r="AN129" s="32"/>
      <c r="AO129" s="57"/>
    </row>
    <row r="130" spans="6:41">
      <c r="F130" s="31"/>
      <c r="M130" s="31"/>
      <c r="U130" s="31"/>
      <c r="AC130" s="31"/>
      <c r="AN130" s="32"/>
      <c r="AO130" s="57"/>
    </row>
    <row r="131" spans="6:41">
      <c r="F131" s="31"/>
      <c r="M131" s="31"/>
      <c r="U131" s="31"/>
      <c r="AC131" s="31"/>
      <c r="AN131" s="32"/>
      <c r="AO131" s="57"/>
    </row>
    <row r="132" spans="6:41">
      <c r="F132" s="31"/>
      <c r="M132" s="31"/>
      <c r="U132" s="31"/>
      <c r="AC132" s="31"/>
      <c r="AN132" s="32"/>
      <c r="AO132" s="57"/>
    </row>
    <row r="133" spans="6:41">
      <c r="F133" s="31"/>
      <c r="M133" s="31"/>
      <c r="U133" s="31"/>
      <c r="AC133" s="31"/>
      <c r="AN133" s="32"/>
      <c r="AO133" s="57"/>
    </row>
    <row r="134" spans="6:41">
      <c r="F134" s="31"/>
      <c r="M134" s="31"/>
      <c r="U134" s="31"/>
      <c r="AC134" s="31"/>
      <c r="AN134" s="32"/>
      <c r="AO134" s="57"/>
    </row>
    <row r="135" spans="6:41">
      <c r="F135" s="31"/>
      <c r="M135" s="31"/>
      <c r="U135" s="31"/>
      <c r="AC135" s="31"/>
      <c r="AN135" s="32"/>
      <c r="AO135" s="57"/>
    </row>
    <row r="136" spans="6:41">
      <c r="F136" s="31"/>
      <c r="M136" s="31"/>
      <c r="U136" s="31"/>
      <c r="AC136" s="31"/>
      <c r="AN136" s="32"/>
      <c r="AO136" s="57"/>
    </row>
    <row r="137" spans="6:41">
      <c r="F137" s="31"/>
      <c r="M137" s="31"/>
      <c r="U137" s="31"/>
      <c r="AC137" s="31"/>
      <c r="AN137" s="32"/>
      <c r="AO137" s="57"/>
    </row>
    <row r="138" spans="6:41">
      <c r="F138" s="31"/>
      <c r="M138" s="31"/>
      <c r="U138" s="31"/>
      <c r="AC138" s="31"/>
      <c r="AN138" s="32"/>
      <c r="AO138" s="57"/>
    </row>
    <row r="139" spans="6:41">
      <c r="F139" s="31"/>
      <c r="M139" s="31"/>
      <c r="U139" s="31"/>
      <c r="AC139" s="31"/>
      <c r="AN139" s="32"/>
      <c r="AO139" s="57"/>
    </row>
    <row r="140" spans="6:41">
      <c r="F140" s="31"/>
      <c r="M140" s="31"/>
      <c r="U140" s="31"/>
      <c r="AC140" s="31"/>
      <c r="AN140" s="32"/>
      <c r="AO140" s="57"/>
    </row>
    <row r="141" spans="6:41">
      <c r="F141" s="31"/>
      <c r="M141" s="31"/>
      <c r="U141" s="31"/>
      <c r="AC141" s="31"/>
      <c r="AN141" s="32"/>
      <c r="AO141" s="57"/>
    </row>
    <row r="142" spans="6:41">
      <c r="F142" s="31"/>
      <c r="M142" s="31"/>
      <c r="U142" s="31"/>
      <c r="AC142" s="31"/>
      <c r="AN142" s="32"/>
      <c r="AO142" s="57"/>
    </row>
    <row r="143" spans="6:41">
      <c r="F143" s="31"/>
      <c r="M143" s="31"/>
      <c r="U143" s="31"/>
      <c r="AC143" s="31"/>
      <c r="AN143" s="32"/>
      <c r="AO143" s="57"/>
    </row>
    <row r="144" spans="6:41">
      <c r="F144" s="31"/>
      <c r="M144" s="31"/>
      <c r="U144" s="31"/>
      <c r="AC144" s="31"/>
      <c r="AN144" s="32"/>
      <c r="AO144" s="57"/>
    </row>
    <row r="145" spans="6:41">
      <c r="F145" s="31"/>
      <c r="M145" s="31"/>
      <c r="U145" s="31"/>
      <c r="AC145" s="31"/>
      <c r="AN145" s="32"/>
      <c r="AO145" s="57"/>
    </row>
    <row r="146" spans="6:41">
      <c r="F146" s="31"/>
      <c r="M146" s="31"/>
      <c r="U146" s="31"/>
      <c r="AC146" s="31"/>
      <c r="AN146" s="32"/>
      <c r="AO146" s="57"/>
    </row>
    <row r="147" spans="6:41">
      <c r="F147" s="31"/>
      <c r="M147" s="31"/>
      <c r="U147" s="31"/>
      <c r="AC147" s="31"/>
      <c r="AN147" s="32"/>
      <c r="AO147" s="57"/>
    </row>
    <row r="148" spans="6:41">
      <c r="F148" s="31"/>
      <c r="M148" s="31"/>
      <c r="U148" s="31"/>
      <c r="AC148" s="31"/>
      <c r="AN148" s="32"/>
      <c r="AO148" s="57"/>
    </row>
    <row r="149" spans="6:41">
      <c r="F149" s="31"/>
      <c r="M149" s="31"/>
      <c r="U149" s="31"/>
      <c r="AC149" s="31"/>
      <c r="AN149" s="32"/>
      <c r="AO149" s="57"/>
    </row>
    <row r="150" spans="6:41">
      <c r="F150" s="31"/>
      <c r="M150" s="31"/>
      <c r="U150" s="31"/>
      <c r="AC150" s="31"/>
      <c r="AN150" s="32"/>
      <c r="AO150" s="57"/>
    </row>
    <row r="151" spans="6:41">
      <c r="F151" s="31"/>
      <c r="M151" s="31"/>
      <c r="U151" s="31"/>
      <c r="AC151" s="31"/>
      <c r="AN151" s="32"/>
      <c r="AO151" s="57"/>
    </row>
    <row r="152" spans="6:41">
      <c r="F152" s="31"/>
      <c r="M152" s="31"/>
      <c r="U152" s="31"/>
      <c r="AC152" s="31"/>
      <c r="AN152" s="32"/>
      <c r="AO152" s="57"/>
    </row>
    <row r="153" spans="6:41">
      <c r="F153" s="31"/>
      <c r="M153" s="31"/>
      <c r="U153" s="31"/>
      <c r="AC153" s="31"/>
      <c r="AN153" s="32"/>
      <c r="AO153" s="57"/>
    </row>
    <row r="154" spans="6:41">
      <c r="F154" s="31"/>
      <c r="M154" s="31"/>
      <c r="U154" s="31"/>
      <c r="AC154" s="31"/>
      <c r="AN154" s="32"/>
      <c r="AO154" s="57"/>
    </row>
    <row r="155" spans="6:41">
      <c r="F155" s="31"/>
      <c r="M155" s="31"/>
      <c r="U155" s="31"/>
      <c r="AC155" s="31"/>
      <c r="AN155" s="32"/>
      <c r="AO155" s="57"/>
    </row>
    <row r="156" spans="6:41">
      <c r="F156" s="31"/>
      <c r="M156" s="31"/>
      <c r="U156" s="31"/>
      <c r="AC156" s="31"/>
      <c r="AN156" s="32"/>
      <c r="AO156" s="57"/>
    </row>
    <row r="157" spans="6:41">
      <c r="F157" s="31"/>
      <c r="M157" s="31"/>
      <c r="U157" s="31"/>
      <c r="AC157" s="31"/>
      <c r="AN157" s="32"/>
      <c r="AO157" s="57"/>
    </row>
    <row r="158" spans="6:41">
      <c r="F158" s="31"/>
      <c r="M158" s="31"/>
      <c r="U158" s="31"/>
      <c r="AC158" s="31"/>
      <c r="AN158" s="32"/>
      <c r="AO158" s="57"/>
    </row>
    <row r="159" spans="6:41">
      <c r="F159" s="31"/>
      <c r="M159" s="31"/>
      <c r="U159" s="31"/>
      <c r="AC159" s="31"/>
      <c r="AN159" s="32"/>
      <c r="AO159" s="57"/>
    </row>
    <row r="160" spans="6:41">
      <c r="F160" s="31"/>
      <c r="M160" s="31"/>
      <c r="U160" s="31"/>
      <c r="AC160" s="31"/>
      <c r="AN160" s="32"/>
      <c r="AO160" s="57"/>
    </row>
    <row r="161" spans="6:41">
      <c r="F161" s="31"/>
      <c r="M161" s="31"/>
      <c r="U161" s="31"/>
      <c r="AC161" s="31"/>
      <c r="AN161" s="32"/>
      <c r="AO161" s="57"/>
    </row>
    <row r="162" spans="6:41">
      <c r="F162" s="31"/>
      <c r="M162" s="31"/>
      <c r="U162" s="31"/>
      <c r="AC162" s="31"/>
      <c r="AN162" s="32"/>
      <c r="AO162" s="57"/>
    </row>
    <row r="163" spans="6:41">
      <c r="F163" s="31"/>
      <c r="M163" s="31"/>
      <c r="U163" s="31"/>
      <c r="AC163" s="31"/>
      <c r="AN163" s="32"/>
      <c r="AO163" s="57"/>
    </row>
    <row r="164" spans="6:41">
      <c r="F164" s="31"/>
      <c r="M164" s="31"/>
      <c r="U164" s="31"/>
      <c r="AC164" s="31"/>
      <c r="AN164" s="32"/>
      <c r="AO164" s="57"/>
    </row>
    <row r="165" spans="6:41">
      <c r="F165" s="31"/>
      <c r="M165" s="31"/>
      <c r="U165" s="31"/>
      <c r="AC165" s="31"/>
      <c r="AN165" s="32"/>
      <c r="AO165" s="57"/>
    </row>
    <row r="166" spans="6:41">
      <c r="F166" s="31"/>
      <c r="M166" s="31"/>
      <c r="U166" s="31"/>
      <c r="AC166" s="31"/>
      <c r="AN166" s="32"/>
      <c r="AO166" s="57"/>
    </row>
    <row r="167" spans="6:41">
      <c r="F167" s="31"/>
      <c r="M167" s="31"/>
      <c r="U167" s="31"/>
      <c r="AC167" s="31"/>
      <c r="AN167" s="32"/>
      <c r="AO167" s="57"/>
    </row>
    <row r="168" spans="6:41">
      <c r="F168" s="31"/>
      <c r="M168" s="31"/>
      <c r="U168" s="31"/>
      <c r="AC168" s="31"/>
      <c r="AN168" s="32"/>
      <c r="AO168" s="57"/>
    </row>
    <row r="169" spans="6:41">
      <c r="F169" s="31"/>
      <c r="M169" s="31"/>
      <c r="U169" s="31"/>
      <c r="AC169" s="31"/>
      <c r="AN169" s="32"/>
      <c r="AO169" s="57"/>
    </row>
    <row r="170" spans="6:41">
      <c r="F170" s="31"/>
      <c r="M170" s="31"/>
      <c r="U170" s="31"/>
      <c r="AC170" s="31"/>
      <c r="AN170" s="32"/>
      <c r="AO170" s="57"/>
    </row>
    <row r="171" spans="6:41">
      <c r="F171" s="31"/>
      <c r="M171" s="31"/>
      <c r="U171" s="31"/>
      <c r="AC171" s="31"/>
      <c r="AN171" s="32"/>
      <c r="AO171" s="57"/>
    </row>
    <row r="172" spans="6:41">
      <c r="F172" s="31"/>
      <c r="M172" s="31"/>
      <c r="U172" s="31"/>
      <c r="AC172" s="31"/>
      <c r="AN172" s="32"/>
      <c r="AO172" s="57"/>
    </row>
    <row r="173" spans="6:41">
      <c r="F173" s="31"/>
      <c r="M173" s="31"/>
      <c r="U173" s="31"/>
      <c r="AC173" s="31"/>
      <c r="AN173" s="32"/>
      <c r="AO173" s="57"/>
    </row>
    <row r="174" spans="6:41">
      <c r="F174" s="31"/>
      <c r="M174" s="31"/>
      <c r="U174" s="31"/>
      <c r="AC174" s="31"/>
      <c r="AN174" s="32"/>
      <c r="AO174" s="57"/>
    </row>
    <row r="175" spans="6:41">
      <c r="F175" s="31"/>
      <c r="M175" s="31"/>
      <c r="U175" s="31"/>
      <c r="AC175" s="31"/>
      <c r="AN175" s="32"/>
      <c r="AO175" s="57"/>
    </row>
    <row r="176" spans="6:41">
      <c r="F176" s="31"/>
      <c r="M176" s="31"/>
      <c r="U176" s="31"/>
      <c r="AC176" s="31"/>
      <c r="AN176" s="32"/>
      <c r="AO176" s="57"/>
    </row>
    <row r="177" spans="6:41">
      <c r="F177" s="31"/>
      <c r="M177" s="31"/>
      <c r="U177" s="31"/>
      <c r="AC177" s="31"/>
      <c r="AN177" s="32"/>
      <c r="AO177" s="57"/>
    </row>
    <row r="178" spans="6:41">
      <c r="F178" s="31"/>
      <c r="M178" s="31"/>
      <c r="U178" s="31"/>
      <c r="AC178" s="31"/>
      <c r="AN178" s="32"/>
      <c r="AO178" s="57"/>
    </row>
    <row r="179" spans="6:41">
      <c r="F179" s="31"/>
      <c r="M179" s="31"/>
      <c r="U179" s="31"/>
      <c r="AC179" s="31"/>
      <c r="AN179" s="32"/>
      <c r="AO179" s="57"/>
    </row>
    <row r="180" spans="6:41">
      <c r="F180" s="31"/>
      <c r="M180" s="31"/>
      <c r="U180" s="31"/>
      <c r="AC180" s="31"/>
      <c r="AN180" s="32"/>
      <c r="AO180" s="57"/>
    </row>
    <row r="181" spans="6:41">
      <c r="F181" s="31"/>
      <c r="M181" s="31"/>
      <c r="U181" s="31"/>
      <c r="AC181" s="31"/>
      <c r="AN181" s="32"/>
      <c r="AO181" s="57"/>
    </row>
    <row r="182" spans="6:41">
      <c r="F182" s="31"/>
      <c r="M182" s="31"/>
      <c r="U182" s="31"/>
      <c r="AC182" s="31"/>
      <c r="AN182" s="32"/>
      <c r="AO182" s="57"/>
    </row>
    <row r="183" spans="6:41">
      <c r="F183" s="31"/>
      <c r="M183" s="31"/>
      <c r="U183" s="31"/>
      <c r="AC183" s="31"/>
      <c r="AN183" s="32"/>
      <c r="AO183" s="57"/>
    </row>
    <row r="184" spans="6:41">
      <c r="F184" s="31"/>
      <c r="M184" s="31"/>
      <c r="U184" s="31"/>
      <c r="AC184" s="31"/>
      <c r="AN184" s="32"/>
      <c r="AO184" s="57"/>
    </row>
    <row r="185" spans="6:41">
      <c r="F185" s="31"/>
      <c r="M185" s="31"/>
      <c r="U185" s="31"/>
      <c r="AC185" s="31"/>
      <c r="AN185" s="32"/>
      <c r="AO185" s="57"/>
    </row>
    <row r="186" spans="6:41">
      <c r="F186" s="31"/>
      <c r="M186" s="31"/>
      <c r="U186" s="31"/>
      <c r="AC186" s="31"/>
      <c r="AN186" s="32"/>
      <c r="AO186" s="57"/>
    </row>
    <row r="187" spans="6:41">
      <c r="F187" s="31"/>
      <c r="M187" s="31"/>
      <c r="U187" s="31"/>
      <c r="AC187" s="31"/>
      <c r="AN187" s="32"/>
      <c r="AO187" s="57"/>
    </row>
    <row r="188" spans="6:41">
      <c r="F188" s="31"/>
      <c r="M188" s="31"/>
      <c r="U188" s="31"/>
      <c r="AC188" s="31"/>
      <c r="AN188" s="32"/>
      <c r="AO188" s="57"/>
    </row>
    <row r="189" spans="6:41">
      <c r="F189" s="31"/>
      <c r="M189" s="31"/>
      <c r="U189" s="31"/>
      <c r="AC189" s="31"/>
      <c r="AN189" s="32"/>
      <c r="AO189" s="57"/>
    </row>
    <row r="190" spans="6:41">
      <c r="F190" s="31"/>
      <c r="M190" s="31"/>
      <c r="U190" s="31"/>
      <c r="AC190" s="31"/>
      <c r="AN190" s="32"/>
      <c r="AO190" s="57"/>
    </row>
    <row r="191" spans="6:41">
      <c r="F191" s="31"/>
      <c r="M191" s="31"/>
      <c r="U191" s="31"/>
      <c r="AC191" s="31"/>
      <c r="AN191" s="32"/>
      <c r="AO191" s="57"/>
    </row>
    <row r="192" spans="6:41">
      <c r="F192" s="31"/>
      <c r="M192" s="31"/>
      <c r="U192" s="31"/>
      <c r="AC192" s="31"/>
      <c r="AN192" s="32"/>
      <c r="AO192" s="57"/>
    </row>
    <row r="193" spans="6:41">
      <c r="F193" s="31"/>
      <c r="M193" s="31"/>
      <c r="U193" s="31"/>
      <c r="AC193" s="31"/>
      <c r="AN193" s="32"/>
      <c r="AO193" s="57"/>
    </row>
    <row r="194" spans="6:41">
      <c r="F194" s="31"/>
      <c r="M194" s="31"/>
      <c r="U194" s="31"/>
      <c r="AC194" s="31"/>
      <c r="AN194" s="32"/>
      <c r="AO194" s="57"/>
    </row>
    <row r="195" spans="6:41">
      <c r="F195" s="31"/>
      <c r="M195" s="31"/>
      <c r="U195" s="31"/>
      <c r="AC195" s="31"/>
      <c r="AN195" s="32"/>
      <c r="AO195" s="57"/>
    </row>
    <row r="196" spans="6:41">
      <c r="F196" s="31"/>
      <c r="M196" s="31"/>
      <c r="U196" s="31"/>
      <c r="AC196" s="31"/>
      <c r="AN196" s="32"/>
      <c r="AO196" s="57"/>
    </row>
    <row r="197" spans="6:41">
      <c r="F197" s="31"/>
      <c r="M197" s="31"/>
      <c r="U197" s="31"/>
      <c r="AC197" s="31"/>
      <c r="AN197" s="32"/>
      <c r="AO197" s="57"/>
    </row>
    <row r="198" spans="6:41">
      <c r="F198" s="31"/>
      <c r="M198" s="31"/>
      <c r="U198" s="31"/>
      <c r="AC198" s="31"/>
      <c r="AN198" s="32"/>
      <c r="AO198" s="57"/>
    </row>
    <row r="199" spans="6:41">
      <c r="F199" s="31"/>
      <c r="M199" s="31"/>
      <c r="U199" s="31"/>
      <c r="AC199" s="31"/>
      <c r="AN199" s="32"/>
      <c r="AO199" s="57"/>
    </row>
    <row r="200" spans="6:41">
      <c r="F200" s="31"/>
      <c r="M200" s="31"/>
      <c r="U200" s="31"/>
      <c r="AC200" s="31"/>
      <c r="AN200" s="32"/>
      <c r="AO200" s="57"/>
    </row>
    <row r="201" spans="6:41">
      <c r="F201" s="31"/>
      <c r="M201" s="31"/>
      <c r="U201" s="31"/>
      <c r="AC201" s="31"/>
      <c r="AN201" s="32"/>
      <c r="AO201" s="57"/>
    </row>
    <row r="202" spans="6:41">
      <c r="F202" s="31"/>
      <c r="M202" s="31"/>
      <c r="U202" s="31"/>
      <c r="AC202" s="31"/>
      <c r="AN202" s="32"/>
      <c r="AO202" s="57"/>
    </row>
    <row r="203" spans="6:41">
      <c r="F203" s="31"/>
      <c r="M203" s="31"/>
      <c r="U203" s="31"/>
      <c r="AC203" s="31"/>
      <c r="AN203" s="32"/>
      <c r="AO203" s="57"/>
    </row>
    <row r="204" spans="6:41">
      <c r="F204" s="31"/>
      <c r="M204" s="31"/>
      <c r="U204" s="31"/>
      <c r="AC204" s="31"/>
      <c r="AN204" s="32"/>
      <c r="AO204" s="57"/>
    </row>
    <row r="205" spans="6:41">
      <c r="F205" s="31"/>
      <c r="M205" s="31"/>
      <c r="U205" s="31"/>
      <c r="AC205" s="31"/>
      <c r="AN205" s="32"/>
      <c r="AO205" s="57"/>
    </row>
    <row r="206" spans="6:41">
      <c r="F206" s="31"/>
      <c r="M206" s="31"/>
      <c r="U206" s="31"/>
      <c r="AC206" s="31"/>
      <c r="AN206" s="32"/>
      <c r="AO206" s="57"/>
    </row>
    <row r="207" spans="6:41">
      <c r="F207" s="31"/>
      <c r="M207" s="31"/>
      <c r="U207" s="31"/>
      <c r="AC207" s="31"/>
      <c r="AN207" s="32"/>
      <c r="AO207" s="57"/>
    </row>
    <row r="208" spans="6:41">
      <c r="F208" s="31"/>
      <c r="M208" s="31"/>
      <c r="U208" s="31"/>
      <c r="AC208" s="31"/>
      <c r="AN208" s="32"/>
      <c r="AO208" s="57"/>
    </row>
    <row r="209" spans="6:41">
      <c r="F209" s="31"/>
      <c r="M209" s="31"/>
      <c r="U209" s="31"/>
      <c r="AC209" s="31"/>
      <c r="AN209" s="32"/>
      <c r="AO209" s="57"/>
    </row>
    <row r="210" spans="6:41">
      <c r="F210" s="31"/>
      <c r="M210" s="31"/>
      <c r="U210" s="31"/>
      <c r="AC210" s="31"/>
      <c r="AN210" s="32"/>
      <c r="AO210" s="57"/>
    </row>
    <row r="211" spans="6:41">
      <c r="F211" s="31"/>
      <c r="M211" s="31"/>
      <c r="U211" s="31"/>
      <c r="AC211" s="31"/>
      <c r="AN211" s="32"/>
      <c r="AO211" s="57"/>
    </row>
    <row r="212" spans="6:41">
      <c r="F212" s="31"/>
      <c r="M212" s="31"/>
      <c r="U212" s="31"/>
      <c r="AC212" s="31"/>
      <c r="AN212" s="32"/>
      <c r="AO212" s="57"/>
    </row>
    <row r="213" spans="6:41">
      <c r="F213" s="31"/>
      <c r="M213" s="31"/>
      <c r="U213" s="31"/>
      <c r="AC213" s="31"/>
      <c r="AN213" s="32"/>
      <c r="AO213" s="57"/>
    </row>
    <row r="214" spans="6:41">
      <c r="F214" s="31"/>
      <c r="M214" s="31"/>
      <c r="U214" s="31"/>
      <c r="AC214" s="31"/>
      <c r="AN214" s="32"/>
      <c r="AO214" s="57"/>
    </row>
    <row r="215" spans="6:41">
      <c r="F215" s="31"/>
      <c r="M215" s="31"/>
      <c r="U215" s="31"/>
      <c r="AC215" s="31"/>
      <c r="AN215" s="32"/>
      <c r="AO215" s="57"/>
    </row>
    <row r="216" spans="6:41">
      <c r="F216" s="31"/>
      <c r="M216" s="31"/>
      <c r="U216" s="31"/>
      <c r="AC216" s="31"/>
      <c r="AN216" s="32"/>
      <c r="AO216" s="57"/>
    </row>
    <row r="217" spans="6:41">
      <c r="F217" s="31"/>
      <c r="M217" s="31"/>
      <c r="U217" s="31"/>
      <c r="AC217" s="31"/>
      <c r="AN217" s="32"/>
      <c r="AO217" s="57"/>
    </row>
    <row r="218" spans="6:41">
      <c r="F218" s="31"/>
      <c r="M218" s="31"/>
      <c r="U218" s="31"/>
      <c r="AC218" s="31"/>
      <c r="AN218" s="32"/>
      <c r="AO218" s="57"/>
    </row>
    <row r="219" spans="6:41">
      <c r="F219" s="31"/>
      <c r="M219" s="31"/>
      <c r="U219" s="31"/>
      <c r="AC219" s="31"/>
      <c r="AN219" s="32"/>
      <c r="AO219" s="57"/>
    </row>
    <row r="220" spans="6:41">
      <c r="F220" s="31"/>
      <c r="M220" s="31"/>
      <c r="U220" s="31"/>
      <c r="AC220" s="31"/>
      <c r="AN220" s="32"/>
      <c r="AO220" s="57"/>
    </row>
    <row r="221" spans="6:41">
      <c r="F221" s="31"/>
      <c r="M221" s="31"/>
      <c r="U221" s="31"/>
      <c r="AC221" s="31"/>
      <c r="AN221" s="32"/>
      <c r="AO221" s="57"/>
    </row>
    <row r="222" spans="6:41">
      <c r="F222" s="31"/>
      <c r="M222" s="31"/>
      <c r="U222" s="31"/>
      <c r="AC222" s="31"/>
      <c r="AN222" s="32"/>
      <c r="AO222" s="57"/>
    </row>
    <row r="223" spans="6:41">
      <c r="F223" s="31"/>
      <c r="M223" s="31"/>
      <c r="U223" s="31"/>
      <c r="AC223" s="31"/>
      <c r="AN223" s="32"/>
      <c r="AO223" s="57"/>
    </row>
    <row r="224" spans="6:41">
      <c r="F224" s="31"/>
      <c r="M224" s="31"/>
      <c r="U224" s="31"/>
      <c r="AC224" s="31"/>
      <c r="AN224" s="32"/>
      <c r="AO224" s="57"/>
    </row>
    <row r="225" spans="6:41">
      <c r="F225" s="31"/>
      <c r="M225" s="31"/>
      <c r="U225" s="31"/>
      <c r="AC225" s="31"/>
      <c r="AN225" s="32"/>
      <c r="AO225" s="57"/>
    </row>
    <row r="226" spans="6:41">
      <c r="F226" s="31"/>
      <c r="M226" s="31"/>
      <c r="U226" s="31"/>
      <c r="AC226" s="31"/>
      <c r="AN226" s="32"/>
      <c r="AO226" s="57"/>
    </row>
    <row r="227" spans="6:41">
      <c r="F227" s="31"/>
      <c r="M227" s="31"/>
      <c r="U227" s="31"/>
      <c r="AC227" s="31"/>
      <c r="AN227" s="32"/>
      <c r="AO227" s="57"/>
    </row>
    <row r="228" spans="6:41">
      <c r="F228" s="31"/>
      <c r="M228" s="31"/>
      <c r="U228" s="31"/>
      <c r="AC228" s="31"/>
      <c r="AN228" s="32"/>
      <c r="AO228" s="57"/>
    </row>
    <row r="229" spans="6:41">
      <c r="F229" s="31"/>
      <c r="M229" s="31"/>
      <c r="U229" s="31"/>
      <c r="AC229" s="31"/>
      <c r="AN229" s="32"/>
      <c r="AO229" s="57"/>
    </row>
    <row r="230" spans="6:41">
      <c r="F230" s="31"/>
      <c r="M230" s="31"/>
      <c r="U230" s="31"/>
      <c r="AC230" s="31"/>
      <c r="AN230" s="32"/>
      <c r="AO230" s="57"/>
    </row>
    <row r="231" spans="6:41">
      <c r="F231" s="31"/>
      <c r="M231" s="31"/>
      <c r="U231" s="31"/>
      <c r="AC231" s="31"/>
      <c r="AN231" s="32"/>
      <c r="AO231" s="57"/>
    </row>
    <row r="232" spans="6:41">
      <c r="F232" s="31"/>
      <c r="M232" s="31"/>
      <c r="U232" s="31"/>
      <c r="AC232" s="31"/>
      <c r="AN232" s="32"/>
      <c r="AO232" s="57"/>
    </row>
    <row r="233" spans="6:41">
      <c r="F233" s="31"/>
      <c r="M233" s="31"/>
      <c r="U233" s="31"/>
      <c r="AC233" s="31"/>
      <c r="AN233" s="32"/>
      <c r="AO233" s="57"/>
    </row>
    <row r="234" spans="6:41">
      <c r="F234" s="31"/>
      <c r="M234" s="31"/>
      <c r="U234" s="31"/>
      <c r="AC234" s="31"/>
      <c r="AN234" s="32"/>
      <c r="AO234" s="57"/>
    </row>
    <row r="235" spans="6:41">
      <c r="F235" s="31"/>
      <c r="M235" s="31"/>
      <c r="U235" s="31"/>
      <c r="AC235" s="31"/>
      <c r="AN235" s="32"/>
      <c r="AO235" s="57"/>
    </row>
    <row r="236" spans="6:41">
      <c r="F236" s="31"/>
      <c r="M236" s="31"/>
      <c r="U236" s="31"/>
      <c r="AC236" s="31"/>
      <c r="AN236" s="32"/>
      <c r="AO236" s="57"/>
    </row>
    <row r="237" spans="6:41">
      <c r="F237" s="31"/>
      <c r="M237" s="31"/>
      <c r="U237" s="31"/>
      <c r="AC237" s="31"/>
      <c r="AN237" s="32"/>
      <c r="AO237" s="57"/>
    </row>
    <row r="238" spans="6:41">
      <c r="F238" s="31"/>
      <c r="M238" s="31"/>
      <c r="U238" s="31"/>
      <c r="AC238" s="31"/>
      <c r="AN238" s="32"/>
      <c r="AO238" s="57"/>
    </row>
    <row r="239" spans="6:41">
      <c r="F239" s="31"/>
      <c r="M239" s="31"/>
      <c r="U239" s="31"/>
      <c r="AC239" s="31"/>
      <c r="AN239" s="32"/>
      <c r="AO239" s="57"/>
    </row>
    <row r="240" spans="6:41">
      <c r="F240" s="31"/>
      <c r="M240" s="31"/>
      <c r="U240" s="31"/>
      <c r="AC240" s="31"/>
      <c r="AN240" s="32"/>
      <c r="AO240" s="57"/>
    </row>
    <row r="241" spans="6:41">
      <c r="F241" s="31"/>
      <c r="M241" s="31"/>
      <c r="U241" s="31"/>
      <c r="AC241" s="31"/>
      <c r="AN241" s="32"/>
      <c r="AO241" s="57"/>
    </row>
    <row r="242" spans="6:41">
      <c r="F242" s="31"/>
      <c r="M242" s="31"/>
      <c r="U242" s="31"/>
      <c r="AC242" s="31"/>
      <c r="AN242" s="32"/>
      <c r="AO242" s="57"/>
    </row>
    <row r="243" spans="6:41">
      <c r="F243" s="31"/>
      <c r="M243" s="31"/>
      <c r="U243" s="31"/>
      <c r="AC243" s="31"/>
      <c r="AN243" s="32"/>
      <c r="AO243" s="57"/>
    </row>
    <row r="244" spans="6:41">
      <c r="F244" s="31"/>
      <c r="M244" s="31"/>
      <c r="U244" s="31"/>
      <c r="AC244" s="31"/>
      <c r="AN244" s="32"/>
      <c r="AO244" s="57"/>
    </row>
    <row r="245" spans="6:41">
      <c r="F245" s="31"/>
      <c r="M245" s="31"/>
      <c r="U245" s="31"/>
      <c r="AC245" s="31"/>
      <c r="AN245" s="32"/>
      <c r="AO245" s="57"/>
    </row>
    <row r="246" spans="6:41">
      <c r="F246" s="31"/>
      <c r="M246" s="31"/>
      <c r="U246" s="31"/>
      <c r="AC246" s="31"/>
      <c r="AN246" s="32"/>
      <c r="AO246" s="57"/>
    </row>
    <row r="247" spans="6:41">
      <c r="F247" s="31"/>
      <c r="M247" s="31"/>
      <c r="U247" s="31"/>
      <c r="AC247" s="31"/>
      <c r="AN247" s="32"/>
      <c r="AO247" s="57"/>
    </row>
    <row r="248" spans="6:41">
      <c r="F248" s="31"/>
      <c r="M248" s="31"/>
      <c r="U248" s="31"/>
      <c r="AC248" s="31"/>
      <c r="AN248" s="32"/>
      <c r="AO248" s="57"/>
    </row>
    <row r="249" spans="6:41">
      <c r="F249" s="31"/>
      <c r="M249" s="31"/>
      <c r="U249" s="31"/>
      <c r="AC249" s="31"/>
      <c r="AN249" s="32"/>
      <c r="AO249" s="57"/>
    </row>
    <row r="250" spans="6:41">
      <c r="F250" s="31"/>
      <c r="M250" s="31"/>
      <c r="U250" s="31"/>
      <c r="AC250" s="31"/>
      <c r="AN250" s="32"/>
      <c r="AO250" s="57"/>
    </row>
    <row r="251" spans="6:41">
      <c r="F251" s="31"/>
      <c r="M251" s="31"/>
      <c r="U251" s="31"/>
      <c r="AC251" s="31"/>
      <c r="AN251" s="32"/>
      <c r="AO251" s="57"/>
    </row>
    <row r="252" spans="6:41">
      <c r="F252" s="31"/>
      <c r="M252" s="31"/>
      <c r="U252" s="31"/>
      <c r="AC252" s="31"/>
      <c r="AN252" s="32"/>
      <c r="AO252" s="57"/>
    </row>
    <row r="253" spans="6:41">
      <c r="F253" s="31"/>
      <c r="M253" s="31"/>
      <c r="U253" s="31"/>
      <c r="AC253" s="31"/>
      <c r="AN253" s="32"/>
      <c r="AO253" s="57"/>
    </row>
    <row r="254" spans="6:41">
      <c r="F254" s="31"/>
      <c r="M254" s="31"/>
      <c r="U254" s="31"/>
      <c r="AC254" s="31"/>
      <c r="AN254" s="32"/>
      <c r="AO254" s="57"/>
    </row>
    <row r="255" spans="6:41">
      <c r="F255" s="31"/>
      <c r="M255" s="31"/>
      <c r="U255" s="31"/>
      <c r="AC255" s="31"/>
      <c r="AN255" s="32"/>
      <c r="AO255" s="57"/>
    </row>
    <row r="256" spans="6:41">
      <c r="F256" s="31"/>
      <c r="M256" s="31"/>
      <c r="U256" s="31"/>
      <c r="AC256" s="31"/>
      <c r="AN256" s="32"/>
      <c r="AO256" s="57"/>
    </row>
    <row r="257" spans="6:41">
      <c r="F257" s="31"/>
      <c r="M257" s="31"/>
      <c r="U257" s="31"/>
      <c r="AC257" s="31"/>
      <c r="AN257" s="32"/>
      <c r="AO257" s="57"/>
    </row>
    <row r="258" spans="6:41">
      <c r="F258" s="31"/>
      <c r="M258" s="31"/>
      <c r="U258" s="31"/>
      <c r="AC258" s="31"/>
      <c r="AN258" s="32"/>
      <c r="AO258" s="57"/>
    </row>
    <row r="259" spans="6:41">
      <c r="F259" s="31"/>
      <c r="M259" s="31"/>
      <c r="U259" s="31"/>
      <c r="AC259" s="31"/>
      <c r="AN259" s="32"/>
      <c r="AO259" s="57"/>
    </row>
    <row r="260" spans="6:41">
      <c r="F260" s="31"/>
      <c r="M260" s="31"/>
      <c r="U260" s="31"/>
      <c r="AC260" s="31"/>
      <c r="AN260" s="32"/>
      <c r="AO260" s="57"/>
    </row>
    <row r="261" spans="6:41">
      <c r="F261" s="31"/>
      <c r="M261" s="31"/>
      <c r="U261" s="31"/>
      <c r="AC261" s="31"/>
      <c r="AN261" s="32"/>
      <c r="AO261" s="57"/>
    </row>
    <row r="262" spans="6:41">
      <c r="F262" s="31"/>
      <c r="M262" s="31"/>
      <c r="U262" s="31"/>
      <c r="AC262" s="31"/>
      <c r="AN262" s="32"/>
      <c r="AO262" s="57"/>
    </row>
    <row r="263" spans="6:41">
      <c r="F263" s="31"/>
      <c r="M263" s="31"/>
      <c r="U263" s="31"/>
      <c r="AC263" s="31"/>
      <c r="AN263" s="32"/>
      <c r="AO263" s="57"/>
    </row>
    <row r="264" spans="6:41">
      <c r="F264" s="31"/>
      <c r="M264" s="31"/>
      <c r="U264" s="31"/>
      <c r="AC264" s="31"/>
      <c r="AN264" s="32"/>
      <c r="AO264" s="57"/>
    </row>
    <row r="265" spans="6:41">
      <c r="F265" s="31"/>
      <c r="M265" s="31"/>
      <c r="U265" s="31"/>
      <c r="AC265" s="31"/>
      <c r="AN265" s="32"/>
      <c r="AO265" s="57"/>
    </row>
    <row r="266" spans="6:41">
      <c r="F266" s="31"/>
      <c r="M266" s="31"/>
      <c r="U266" s="31"/>
      <c r="AC266" s="31"/>
      <c r="AN266" s="32"/>
      <c r="AO266" s="57"/>
    </row>
    <row r="267" spans="6:41">
      <c r="F267" s="31"/>
      <c r="M267" s="31"/>
      <c r="U267" s="31"/>
      <c r="AC267" s="31"/>
      <c r="AN267" s="32"/>
      <c r="AO267" s="57"/>
    </row>
    <row r="268" spans="6:41">
      <c r="F268" s="31"/>
      <c r="M268" s="31"/>
      <c r="U268" s="31"/>
      <c r="AC268" s="31"/>
      <c r="AN268" s="32"/>
      <c r="AO268" s="57"/>
    </row>
    <row r="269" spans="6:41">
      <c r="F269" s="31"/>
      <c r="M269" s="31"/>
      <c r="U269" s="31"/>
      <c r="AC269" s="31"/>
      <c r="AN269" s="32"/>
      <c r="AO269" s="57"/>
    </row>
    <row r="270" spans="6:41">
      <c r="F270" s="31"/>
      <c r="M270" s="31"/>
      <c r="U270" s="31"/>
      <c r="AC270" s="31"/>
      <c r="AN270" s="32"/>
      <c r="AO270" s="57"/>
    </row>
    <row r="271" spans="6:41">
      <c r="F271" s="31"/>
      <c r="M271" s="31"/>
      <c r="U271" s="31"/>
      <c r="AC271" s="31"/>
      <c r="AN271" s="32"/>
      <c r="AO271" s="57"/>
    </row>
    <row r="272" spans="6:41">
      <c r="F272" s="31"/>
      <c r="M272" s="31"/>
      <c r="U272" s="31"/>
      <c r="AC272" s="31"/>
      <c r="AN272" s="32"/>
      <c r="AO272" s="57"/>
    </row>
    <row r="273" spans="6:41">
      <c r="F273" s="31"/>
      <c r="M273" s="31"/>
      <c r="U273" s="31"/>
      <c r="AC273" s="31"/>
      <c r="AN273" s="32"/>
      <c r="AO273" s="57"/>
    </row>
    <row r="274" spans="6:41">
      <c r="F274" s="31"/>
      <c r="M274" s="31"/>
      <c r="U274" s="31"/>
      <c r="AC274" s="31"/>
      <c r="AN274" s="32"/>
      <c r="AO274" s="57"/>
    </row>
    <row r="275" spans="6:41">
      <c r="F275" s="31"/>
      <c r="M275" s="31"/>
      <c r="U275" s="31"/>
      <c r="AC275" s="31"/>
      <c r="AN275" s="32"/>
      <c r="AO275" s="57"/>
    </row>
    <row r="276" spans="6:41">
      <c r="F276" s="31"/>
      <c r="M276" s="31"/>
      <c r="U276" s="31"/>
      <c r="AC276" s="31"/>
      <c r="AN276" s="32"/>
      <c r="AO276" s="57"/>
    </row>
    <row r="277" spans="6:41">
      <c r="F277" s="31"/>
      <c r="M277" s="31"/>
      <c r="U277" s="31"/>
      <c r="AC277" s="31"/>
      <c r="AN277" s="32"/>
      <c r="AO277" s="57"/>
    </row>
    <row r="278" spans="6:41">
      <c r="F278" s="31"/>
      <c r="M278" s="31"/>
      <c r="U278" s="31"/>
      <c r="AC278" s="31"/>
      <c r="AN278" s="32"/>
      <c r="AO278" s="57"/>
    </row>
    <row r="279" spans="6:41">
      <c r="F279" s="31"/>
      <c r="M279" s="31"/>
      <c r="U279" s="31"/>
      <c r="AC279" s="31"/>
      <c r="AN279" s="32"/>
      <c r="AO279" s="57"/>
    </row>
    <row r="280" spans="6:41">
      <c r="F280" s="31"/>
      <c r="M280" s="31"/>
      <c r="U280" s="31"/>
      <c r="AC280" s="31"/>
      <c r="AN280" s="32"/>
      <c r="AO280" s="57"/>
    </row>
    <row r="281" spans="6:41">
      <c r="F281" s="31"/>
      <c r="M281" s="31"/>
      <c r="U281" s="31"/>
      <c r="AC281" s="31"/>
      <c r="AN281" s="32"/>
      <c r="AO281" s="57"/>
    </row>
    <row r="282" spans="6:41">
      <c r="F282" s="31"/>
      <c r="M282" s="31"/>
      <c r="U282" s="31"/>
      <c r="AC282" s="31"/>
      <c r="AN282" s="32"/>
      <c r="AO282" s="57"/>
    </row>
    <row r="283" spans="6:41">
      <c r="F283" s="31"/>
      <c r="M283" s="31"/>
      <c r="U283" s="31"/>
      <c r="AC283" s="31"/>
      <c r="AN283" s="32"/>
      <c r="AO283" s="57"/>
    </row>
    <row r="284" spans="6:41">
      <c r="F284" s="31"/>
      <c r="M284" s="31"/>
      <c r="U284" s="31"/>
      <c r="AC284" s="31"/>
      <c r="AN284" s="32"/>
      <c r="AO284" s="57"/>
    </row>
    <row r="285" spans="6:41">
      <c r="F285" s="31"/>
      <c r="M285" s="31"/>
      <c r="U285" s="31"/>
      <c r="AC285" s="31"/>
      <c r="AN285" s="32"/>
      <c r="AO285" s="57"/>
    </row>
    <row r="286" spans="6:41">
      <c r="F286" s="31"/>
      <c r="M286" s="31"/>
      <c r="U286" s="31"/>
      <c r="AC286" s="31"/>
      <c r="AN286" s="32"/>
      <c r="AO286" s="57"/>
    </row>
    <row r="287" spans="6:41">
      <c r="F287" s="31"/>
      <c r="M287" s="31"/>
      <c r="U287" s="31"/>
      <c r="AC287" s="31"/>
      <c r="AN287" s="32"/>
      <c r="AO287" s="57"/>
    </row>
    <row r="288" spans="6:41">
      <c r="F288" s="31"/>
      <c r="M288" s="31"/>
      <c r="U288" s="31"/>
      <c r="AC288" s="31"/>
      <c r="AN288" s="32"/>
      <c r="AO288" s="57"/>
    </row>
    <row r="289" spans="6:41">
      <c r="F289" s="31"/>
      <c r="M289" s="31"/>
      <c r="U289" s="31"/>
      <c r="AC289" s="31"/>
      <c r="AN289" s="32"/>
      <c r="AO289" s="57"/>
    </row>
    <row r="290" spans="6:41">
      <c r="F290" s="31"/>
      <c r="M290" s="31"/>
      <c r="U290" s="31"/>
      <c r="AC290" s="31"/>
      <c r="AN290" s="32"/>
      <c r="AO290" s="57"/>
    </row>
    <row r="291" spans="6:41">
      <c r="F291" s="31"/>
      <c r="M291" s="31"/>
      <c r="U291" s="31"/>
      <c r="AC291" s="31"/>
      <c r="AN291" s="32"/>
      <c r="AO291" s="57"/>
    </row>
    <row r="292" spans="6:41">
      <c r="F292" s="31"/>
      <c r="M292" s="31"/>
      <c r="U292" s="31"/>
      <c r="AC292" s="31"/>
      <c r="AN292" s="32"/>
      <c r="AO292" s="57"/>
    </row>
    <row r="293" spans="6:41">
      <c r="F293" s="31"/>
      <c r="M293" s="31"/>
      <c r="U293" s="31"/>
      <c r="AC293" s="31"/>
      <c r="AN293" s="32"/>
      <c r="AO293" s="57"/>
    </row>
    <row r="294" spans="6:41">
      <c r="F294" s="31"/>
      <c r="M294" s="31"/>
      <c r="U294" s="31"/>
      <c r="AC294" s="31"/>
      <c r="AN294" s="32"/>
      <c r="AO294" s="57"/>
    </row>
    <row r="295" spans="6:41">
      <c r="F295" s="31"/>
      <c r="M295" s="31"/>
      <c r="U295" s="31"/>
      <c r="AC295" s="31"/>
      <c r="AN295" s="32"/>
      <c r="AO295" s="57"/>
    </row>
    <row r="296" spans="6:41">
      <c r="F296" s="31"/>
      <c r="M296" s="31"/>
      <c r="U296" s="31"/>
      <c r="AC296" s="31"/>
      <c r="AN296" s="32"/>
      <c r="AO296" s="57"/>
    </row>
    <row r="297" spans="6:41">
      <c r="F297" s="31"/>
      <c r="M297" s="31"/>
      <c r="U297" s="31"/>
      <c r="AC297" s="31"/>
      <c r="AN297" s="32"/>
      <c r="AO297" s="57"/>
    </row>
    <row r="298" spans="6:41">
      <c r="F298" s="31"/>
      <c r="M298" s="31"/>
      <c r="U298" s="31"/>
      <c r="AC298" s="31"/>
      <c r="AN298" s="32"/>
      <c r="AO298" s="57"/>
    </row>
    <row r="299" spans="6:41">
      <c r="F299" s="31"/>
      <c r="M299" s="31"/>
      <c r="U299" s="31"/>
      <c r="AC299" s="31"/>
      <c r="AN299" s="32"/>
      <c r="AO299" s="57"/>
    </row>
    <row r="300" spans="6:41">
      <c r="F300" s="31"/>
      <c r="M300" s="31"/>
      <c r="U300" s="31"/>
      <c r="AC300" s="31"/>
      <c r="AN300" s="32"/>
      <c r="AO300" s="57"/>
    </row>
    <row r="301" spans="6:41">
      <c r="F301" s="31"/>
      <c r="M301" s="31"/>
      <c r="U301" s="31"/>
      <c r="AC301" s="31"/>
      <c r="AN301" s="32"/>
      <c r="AO301" s="57"/>
    </row>
    <row r="302" spans="6:41">
      <c r="F302" s="31"/>
      <c r="M302" s="31"/>
      <c r="U302" s="31"/>
      <c r="AC302" s="31"/>
      <c r="AN302" s="32"/>
      <c r="AO302" s="57"/>
    </row>
    <row r="303" spans="6:41">
      <c r="F303" s="31"/>
      <c r="M303" s="31"/>
      <c r="U303" s="31"/>
      <c r="AC303" s="31"/>
      <c r="AN303" s="32"/>
      <c r="AO303" s="57"/>
    </row>
    <row r="304" spans="6:41">
      <c r="F304" s="31"/>
      <c r="M304" s="31"/>
      <c r="U304" s="31"/>
      <c r="AC304" s="31"/>
      <c r="AN304" s="32"/>
      <c r="AO304" s="57"/>
    </row>
    <row r="305" spans="6:41">
      <c r="F305" s="31"/>
      <c r="M305" s="31"/>
      <c r="U305" s="31"/>
      <c r="AC305" s="31"/>
      <c r="AN305" s="32"/>
      <c r="AO305" s="57"/>
    </row>
    <row r="306" spans="6:41">
      <c r="F306" s="31"/>
      <c r="M306" s="31"/>
      <c r="U306" s="31"/>
      <c r="AC306" s="31"/>
      <c r="AN306" s="32"/>
      <c r="AO306" s="57"/>
    </row>
    <row r="307" spans="6:41">
      <c r="F307" s="31"/>
      <c r="M307" s="31"/>
      <c r="U307" s="31"/>
      <c r="AC307" s="31"/>
      <c r="AN307" s="32"/>
      <c r="AO307" s="57"/>
    </row>
    <row r="308" spans="6:41">
      <c r="F308" s="31"/>
      <c r="M308" s="31"/>
      <c r="U308" s="31"/>
      <c r="AC308" s="31"/>
      <c r="AN308" s="32"/>
      <c r="AO308" s="57"/>
    </row>
    <row r="309" spans="6:41">
      <c r="F309" s="31"/>
      <c r="M309" s="31"/>
      <c r="U309" s="31"/>
      <c r="AC309" s="31"/>
      <c r="AN309" s="32"/>
      <c r="AO309" s="57"/>
    </row>
    <row r="310" spans="6:41">
      <c r="F310" s="31"/>
      <c r="M310" s="31"/>
      <c r="U310" s="31"/>
      <c r="AC310" s="31"/>
      <c r="AN310" s="32"/>
      <c r="AO310" s="57"/>
    </row>
    <row r="311" spans="6:41">
      <c r="F311" s="31"/>
      <c r="M311" s="31"/>
      <c r="U311" s="31"/>
      <c r="AC311" s="31"/>
      <c r="AN311" s="32"/>
      <c r="AO311" s="57"/>
    </row>
    <row r="312" spans="6:41">
      <c r="F312" s="31"/>
      <c r="M312" s="31"/>
      <c r="U312" s="31"/>
      <c r="AC312" s="31"/>
      <c r="AN312" s="32"/>
      <c r="AO312" s="57"/>
    </row>
    <row r="313" spans="6:41">
      <c r="F313" s="31"/>
      <c r="M313" s="31"/>
      <c r="U313" s="31"/>
      <c r="AC313" s="31"/>
      <c r="AN313" s="32"/>
      <c r="AO313" s="57"/>
    </row>
    <row r="314" spans="6:41">
      <c r="F314" s="31"/>
      <c r="M314" s="31"/>
      <c r="U314" s="31"/>
      <c r="AC314" s="31"/>
      <c r="AN314" s="32"/>
      <c r="AO314" s="57"/>
    </row>
    <row r="315" spans="6:41">
      <c r="F315" s="31"/>
      <c r="M315" s="31"/>
      <c r="U315" s="31"/>
      <c r="AC315" s="31"/>
      <c r="AN315" s="32"/>
      <c r="AO315" s="57"/>
    </row>
    <row r="316" spans="6:41">
      <c r="F316" s="31"/>
      <c r="M316" s="31"/>
      <c r="U316" s="31"/>
      <c r="AC316" s="31"/>
      <c r="AN316" s="32"/>
      <c r="AO316" s="57"/>
    </row>
    <row r="317" spans="6:41">
      <c r="F317" s="31"/>
      <c r="M317" s="31"/>
      <c r="U317" s="31"/>
      <c r="AC317" s="31"/>
      <c r="AN317" s="32"/>
      <c r="AO317" s="57"/>
    </row>
    <row r="318" spans="6:41">
      <c r="F318" s="31"/>
      <c r="M318" s="31"/>
      <c r="U318" s="31"/>
      <c r="AC318" s="31"/>
      <c r="AN318" s="32"/>
      <c r="AO318" s="57"/>
    </row>
    <row r="319" spans="6:41">
      <c r="F319" s="31"/>
      <c r="M319" s="31"/>
      <c r="U319" s="31"/>
      <c r="AC319" s="31"/>
      <c r="AN319" s="32"/>
      <c r="AO319" s="57"/>
    </row>
    <row r="320" spans="6:41">
      <c r="F320" s="31"/>
      <c r="M320" s="31"/>
      <c r="U320" s="31"/>
      <c r="AC320" s="31"/>
      <c r="AN320" s="32"/>
      <c r="AO320" s="57"/>
    </row>
    <row r="321" spans="6:41">
      <c r="F321" s="31"/>
      <c r="M321" s="31"/>
      <c r="U321" s="31"/>
      <c r="AC321" s="31"/>
      <c r="AN321" s="32"/>
      <c r="AO321" s="57"/>
    </row>
    <row r="322" spans="6:41">
      <c r="F322" s="31"/>
      <c r="M322" s="31"/>
      <c r="U322" s="31"/>
      <c r="AC322" s="31"/>
      <c r="AN322" s="32"/>
      <c r="AO322" s="57"/>
    </row>
    <row r="323" spans="6:41">
      <c r="F323" s="31"/>
      <c r="M323" s="31"/>
      <c r="U323" s="31"/>
      <c r="AC323" s="31"/>
      <c r="AN323" s="32"/>
      <c r="AO323" s="57"/>
    </row>
    <row r="324" spans="6:41">
      <c r="F324" s="31"/>
      <c r="M324" s="31"/>
      <c r="U324" s="31"/>
      <c r="AC324" s="31"/>
      <c r="AN324" s="32"/>
      <c r="AO324" s="57"/>
    </row>
    <row r="325" spans="6:41">
      <c r="F325" s="31"/>
      <c r="M325" s="31"/>
      <c r="U325" s="31"/>
      <c r="AC325" s="31"/>
      <c r="AN325" s="32"/>
      <c r="AO325" s="57"/>
    </row>
    <row r="326" spans="6:41">
      <c r="F326" s="31"/>
      <c r="M326" s="31"/>
      <c r="U326" s="31"/>
      <c r="AC326" s="31"/>
      <c r="AN326" s="32"/>
      <c r="AO326" s="57"/>
    </row>
    <row r="327" spans="6:41">
      <c r="F327" s="31"/>
      <c r="M327" s="31"/>
      <c r="U327" s="31"/>
      <c r="AC327" s="31"/>
      <c r="AN327" s="32"/>
      <c r="AO327" s="57"/>
    </row>
    <row r="328" spans="6:41">
      <c r="F328" s="31"/>
      <c r="M328" s="31"/>
      <c r="U328" s="31"/>
      <c r="AC328" s="31"/>
      <c r="AN328" s="32"/>
      <c r="AO328" s="57"/>
    </row>
    <row r="329" spans="6:41">
      <c r="F329" s="31"/>
      <c r="M329" s="31"/>
      <c r="U329" s="31"/>
      <c r="AC329" s="31"/>
      <c r="AN329" s="32"/>
      <c r="AO329" s="57"/>
    </row>
    <row r="330" spans="6:41">
      <c r="F330" s="31"/>
      <c r="M330" s="31"/>
      <c r="U330" s="31"/>
      <c r="AC330" s="31"/>
      <c r="AN330" s="32"/>
      <c r="AO330" s="57"/>
    </row>
    <row r="331" spans="6:41">
      <c r="F331" s="31"/>
      <c r="M331" s="31"/>
      <c r="U331" s="31"/>
      <c r="AC331" s="31"/>
      <c r="AN331" s="32"/>
      <c r="AO331" s="57"/>
    </row>
    <row r="332" spans="6:41">
      <c r="F332" s="31"/>
      <c r="M332" s="31"/>
      <c r="U332" s="31"/>
      <c r="AC332" s="31"/>
      <c r="AN332" s="32"/>
      <c r="AO332" s="57"/>
    </row>
    <row r="333" spans="6:41">
      <c r="F333" s="31"/>
      <c r="M333" s="31"/>
      <c r="U333" s="31"/>
      <c r="AC333" s="31"/>
      <c r="AN333" s="32"/>
      <c r="AO333" s="57"/>
    </row>
    <row r="334" spans="6:41">
      <c r="F334" s="31"/>
      <c r="M334" s="31"/>
      <c r="U334" s="31"/>
      <c r="AC334" s="31"/>
      <c r="AN334" s="32"/>
      <c r="AO334" s="57"/>
    </row>
    <row r="335" spans="6:41">
      <c r="F335" s="31"/>
      <c r="M335" s="31"/>
      <c r="U335" s="31"/>
      <c r="AC335" s="31"/>
      <c r="AN335" s="32"/>
      <c r="AO335" s="57"/>
    </row>
    <row r="336" spans="6:41">
      <c r="F336" s="31"/>
      <c r="M336" s="31"/>
      <c r="U336" s="31"/>
      <c r="AC336" s="31"/>
      <c r="AN336" s="32"/>
      <c r="AO336" s="57"/>
    </row>
    <row r="337" spans="6:41">
      <c r="F337" s="31"/>
      <c r="M337" s="31"/>
      <c r="U337" s="31"/>
      <c r="AC337" s="31"/>
      <c r="AN337" s="32"/>
      <c r="AO337" s="57"/>
    </row>
    <row r="338" spans="6:41">
      <c r="F338" s="31"/>
      <c r="M338" s="31"/>
      <c r="U338" s="31"/>
      <c r="AC338" s="31"/>
      <c r="AN338" s="32"/>
      <c r="AO338" s="57"/>
    </row>
    <row r="339" spans="6:41">
      <c r="F339" s="31"/>
      <c r="M339" s="31"/>
      <c r="U339" s="31"/>
      <c r="AC339" s="31"/>
      <c r="AN339" s="32"/>
      <c r="AO339" s="57"/>
    </row>
    <row r="340" spans="6:41">
      <c r="F340" s="31"/>
      <c r="M340" s="31"/>
      <c r="U340" s="31"/>
      <c r="AC340" s="31"/>
      <c r="AN340" s="32"/>
      <c r="AO340" s="57"/>
    </row>
    <row r="341" spans="6:41">
      <c r="F341" s="31"/>
      <c r="M341" s="31"/>
      <c r="U341" s="31"/>
      <c r="AC341" s="31"/>
      <c r="AN341" s="32"/>
      <c r="AO341" s="57"/>
    </row>
    <row r="342" spans="6:41">
      <c r="F342" s="31"/>
      <c r="M342" s="31"/>
      <c r="U342" s="31"/>
      <c r="AC342" s="31"/>
      <c r="AN342" s="32"/>
      <c r="AO342" s="57"/>
    </row>
    <row r="343" spans="6:41">
      <c r="F343" s="31"/>
      <c r="M343" s="31"/>
      <c r="U343" s="31"/>
      <c r="AC343" s="31"/>
      <c r="AN343" s="32"/>
      <c r="AO343" s="57"/>
    </row>
    <row r="344" spans="6:41">
      <c r="F344" s="31"/>
      <c r="M344" s="31"/>
      <c r="U344" s="31"/>
      <c r="AC344" s="31"/>
      <c r="AN344" s="32"/>
      <c r="AO344" s="57"/>
    </row>
    <row r="345" spans="6:41">
      <c r="F345" s="31"/>
      <c r="M345" s="31"/>
      <c r="U345" s="31"/>
      <c r="AC345" s="31"/>
      <c r="AN345" s="32"/>
      <c r="AO345" s="57"/>
    </row>
    <row r="346" spans="6:41">
      <c r="F346" s="31"/>
      <c r="M346" s="31"/>
      <c r="U346" s="31"/>
      <c r="AC346" s="31"/>
      <c r="AN346" s="32"/>
      <c r="AO346" s="57"/>
    </row>
    <row r="347" spans="6:41">
      <c r="F347" s="31"/>
      <c r="M347" s="31"/>
      <c r="U347" s="31"/>
      <c r="AC347" s="31"/>
      <c r="AN347" s="32"/>
      <c r="AO347" s="57"/>
    </row>
    <row r="348" spans="6:41">
      <c r="F348" s="31"/>
      <c r="M348" s="31"/>
      <c r="U348" s="31"/>
      <c r="AC348" s="31"/>
      <c r="AN348" s="32"/>
      <c r="AO348" s="57"/>
    </row>
    <row r="349" spans="6:41">
      <c r="F349" s="31"/>
      <c r="M349" s="31"/>
      <c r="U349" s="31"/>
      <c r="AC349" s="31"/>
      <c r="AN349" s="32"/>
      <c r="AO349" s="57"/>
    </row>
    <row r="350" spans="6:41">
      <c r="F350" s="31"/>
      <c r="M350" s="31"/>
      <c r="U350" s="31"/>
      <c r="AC350" s="31"/>
      <c r="AN350" s="32"/>
      <c r="AO350" s="57"/>
    </row>
    <row r="351" spans="6:41">
      <c r="F351" s="31"/>
      <c r="M351" s="31"/>
      <c r="U351" s="31"/>
      <c r="AC351" s="31"/>
      <c r="AN351" s="32"/>
      <c r="AO351" s="57"/>
    </row>
    <row r="352" spans="6:41">
      <c r="F352" s="31"/>
      <c r="M352" s="31"/>
      <c r="U352" s="31"/>
      <c r="AC352" s="31"/>
      <c r="AN352" s="32"/>
      <c r="AO352" s="57"/>
    </row>
    <row r="353" spans="6:41">
      <c r="F353" s="31"/>
      <c r="M353" s="31"/>
      <c r="U353" s="31"/>
      <c r="AC353" s="31"/>
      <c r="AN353" s="32"/>
      <c r="AO353" s="57"/>
    </row>
    <row r="354" spans="6:41">
      <c r="F354" s="31"/>
      <c r="M354" s="31"/>
      <c r="U354" s="31"/>
      <c r="AC354" s="31"/>
      <c r="AN354" s="32"/>
      <c r="AO354" s="57"/>
    </row>
    <row r="355" spans="6:41">
      <c r="F355" s="31"/>
      <c r="M355" s="31"/>
      <c r="U355" s="31"/>
      <c r="AC355" s="31"/>
      <c r="AN355" s="32"/>
      <c r="AO355" s="57"/>
    </row>
    <row r="356" spans="6:41">
      <c r="F356" s="31"/>
      <c r="M356" s="31"/>
      <c r="U356" s="31"/>
      <c r="AC356" s="31"/>
      <c r="AN356" s="32"/>
      <c r="AO356" s="57"/>
    </row>
    <row r="357" spans="6:41">
      <c r="F357" s="31"/>
      <c r="M357" s="31"/>
      <c r="U357" s="31"/>
      <c r="AC357" s="31"/>
      <c r="AN357" s="32"/>
      <c r="AO357" s="57"/>
    </row>
    <row r="358" spans="6:41">
      <c r="F358" s="31"/>
      <c r="M358" s="31"/>
      <c r="U358" s="31"/>
      <c r="AC358" s="31"/>
      <c r="AN358" s="32"/>
      <c r="AO358" s="57"/>
    </row>
    <row r="359" spans="6:41">
      <c r="F359" s="31"/>
      <c r="M359" s="31"/>
      <c r="U359" s="31"/>
      <c r="AC359" s="31"/>
      <c r="AN359" s="32"/>
      <c r="AO359" s="57"/>
    </row>
    <row r="360" spans="6:41">
      <c r="F360" s="31"/>
      <c r="M360" s="31"/>
      <c r="U360" s="31"/>
      <c r="AC360" s="31"/>
      <c r="AN360" s="32"/>
      <c r="AO360" s="57"/>
    </row>
    <row r="361" spans="6:41">
      <c r="F361" s="31"/>
      <c r="M361" s="31"/>
      <c r="U361" s="31"/>
      <c r="AC361" s="31"/>
      <c r="AN361" s="32"/>
      <c r="AO361" s="57"/>
    </row>
    <row r="362" spans="6:41">
      <c r="F362" s="31"/>
      <c r="M362" s="31"/>
      <c r="U362" s="31"/>
      <c r="AC362" s="31"/>
      <c r="AN362" s="32"/>
      <c r="AO362" s="57"/>
    </row>
    <row r="363" spans="6:41">
      <c r="F363" s="31"/>
      <c r="M363" s="31"/>
      <c r="U363" s="31"/>
      <c r="AC363" s="31"/>
      <c r="AN363" s="32"/>
      <c r="AO363" s="57"/>
    </row>
    <row r="364" spans="6:41">
      <c r="F364" s="31"/>
      <c r="M364" s="31"/>
      <c r="U364" s="31"/>
      <c r="AC364" s="31"/>
      <c r="AN364" s="32"/>
      <c r="AO364" s="57"/>
    </row>
    <row r="365" spans="6:41">
      <c r="F365" s="31"/>
      <c r="M365" s="31"/>
      <c r="U365" s="31"/>
      <c r="AC365" s="31"/>
      <c r="AN365" s="32"/>
      <c r="AO365" s="57"/>
    </row>
    <row r="366" spans="6:41">
      <c r="F366" s="31"/>
      <c r="M366" s="31"/>
      <c r="U366" s="31"/>
      <c r="AC366" s="31"/>
      <c r="AN366" s="32"/>
      <c r="AO366" s="57"/>
    </row>
    <row r="367" spans="6:41">
      <c r="F367" s="31"/>
      <c r="M367" s="31"/>
      <c r="U367" s="31"/>
      <c r="AC367" s="31"/>
      <c r="AN367" s="32"/>
      <c r="AO367" s="57"/>
    </row>
    <row r="368" spans="6:41">
      <c r="F368" s="31"/>
      <c r="M368" s="31"/>
      <c r="U368" s="31"/>
      <c r="AC368" s="31"/>
      <c r="AN368" s="32"/>
      <c r="AO368" s="57"/>
    </row>
    <row r="369" spans="6:41">
      <c r="F369" s="31"/>
      <c r="M369" s="31"/>
      <c r="U369" s="31"/>
      <c r="AC369" s="31"/>
      <c r="AN369" s="32"/>
      <c r="AO369" s="57"/>
    </row>
    <row r="370" spans="6:41">
      <c r="F370" s="31"/>
      <c r="M370" s="31"/>
      <c r="U370" s="31"/>
      <c r="AC370" s="31"/>
      <c r="AN370" s="32"/>
      <c r="AO370" s="57"/>
    </row>
    <row r="371" spans="6:41">
      <c r="F371" s="31"/>
      <c r="M371" s="31"/>
      <c r="U371" s="31"/>
      <c r="AC371" s="31"/>
      <c r="AN371" s="32"/>
      <c r="AO371" s="57"/>
    </row>
    <row r="372" spans="6:41">
      <c r="F372" s="31"/>
      <c r="M372" s="31"/>
      <c r="U372" s="31"/>
      <c r="AC372" s="31"/>
      <c r="AN372" s="32"/>
      <c r="AO372" s="57"/>
    </row>
    <row r="373" spans="6:41">
      <c r="F373" s="31"/>
      <c r="M373" s="31"/>
      <c r="U373" s="31"/>
      <c r="AC373" s="31"/>
      <c r="AN373" s="32"/>
      <c r="AO373" s="57"/>
    </row>
    <row r="374" spans="6:41">
      <c r="F374" s="31"/>
      <c r="M374" s="31"/>
      <c r="U374" s="31"/>
      <c r="AC374" s="31"/>
      <c r="AN374" s="32"/>
      <c r="AO374" s="57"/>
    </row>
    <row r="375" spans="6:41">
      <c r="F375" s="31"/>
      <c r="M375" s="31"/>
      <c r="U375" s="31"/>
      <c r="AC375" s="31"/>
      <c r="AN375" s="32"/>
      <c r="AO375" s="57"/>
    </row>
    <row r="376" spans="6:41">
      <c r="F376" s="31"/>
      <c r="M376" s="31"/>
      <c r="U376" s="31"/>
      <c r="AC376" s="31"/>
      <c r="AN376" s="32"/>
      <c r="AO376" s="57"/>
    </row>
    <row r="377" spans="6:41">
      <c r="F377" s="31"/>
      <c r="M377" s="31"/>
      <c r="U377" s="31"/>
      <c r="AC377" s="31"/>
      <c r="AN377" s="32"/>
      <c r="AO377" s="57"/>
    </row>
    <row r="378" spans="6:41">
      <c r="F378" s="31"/>
      <c r="M378" s="31"/>
      <c r="U378" s="31"/>
      <c r="AC378" s="31"/>
      <c r="AN378" s="32"/>
      <c r="AO378" s="57"/>
    </row>
    <row r="379" spans="6:41">
      <c r="F379" s="31"/>
      <c r="M379" s="31"/>
      <c r="U379" s="31"/>
      <c r="AC379" s="31"/>
      <c r="AN379" s="32"/>
      <c r="AO379" s="57"/>
    </row>
    <row r="380" spans="6:41">
      <c r="F380" s="31"/>
      <c r="M380" s="31"/>
      <c r="U380" s="31"/>
      <c r="AC380" s="31"/>
      <c r="AN380" s="32"/>
      <c r="AO380" s="57"/>
    </row>
    <row r="381" spans="6:41">
      <c r="F381" s="31"/>
      <c r="M381" s="31"/>
      <c r="U381" s="31"/>
      <c r="AC381" s="31"/>
      <c r="AN381" s="32"/>
      <c r="AO381" s="57"/>
    </row>
    <row r="382" spans="6:41">
      <c r="F382" s="31"/>
      <c r="M382" s="31"/>
      <c r="U382" s="31"/>
      <c r="AC382" s="31"/>
      <c r="AN382" s="32"/>
      <c r="AO382" s="57"/>
    </row>
    <row r="383" spans="6:41">
      <c r="F383" s="31"/>
      <c r="M383" s="31"/>
      <c r="U383" s="31"/>
      <c r="AC383" s="31"/>
      <c r="AN383" s="32"/>
      <c r="AO383" s="57"/>
    </row>
    <row r="384" spans="6:41">
      <c r="F384" s="31"/>
      <c r="M384" s="31"/>
      <c r="U384" s="31"/>
      <c r="AC384" s="31"/>
      <c r="AN384" s="32"/>
      <c r="AO384" s="57"/>
    </row>
    <row r="385" spans="6:41">
      <c r="F385" s="31"/>
      <c r="M385" s="31"/>
      <c r="U385" s="31"/>
      <c r="AC385" s="31"/>
      <c r="AN385" s="32"/>
      <c r="AO385" s="57"/>
    </row>
    <row r="386" spans="6:41">
      <c r="F386" s="31"/>
      <c r="M386" s="31"/>
      <c r="U386" s="31"/>
      <c r="AC386" s="31"/>
      <c r="AN386" s="32"/>
      <c r="AO386" s="57"/>
    </row>
    <row r="387" spans="6:41">
      <c r="F387" s="31"/>
      <c r="M387" s="31"/>
      <c r="U387" s="31"/>
      <c r="AC387" s="31"/>
      <c r="AN387" s="32"/>
      <c r="AO387" s="57"/>
    </row>
    <row r="388" spans="6:41">
      <c r="F388" s="31"/>
      <c r="M388" s="31"/>
      <c r="U388" s="31"/>
      <c r="AC388" s="31"/>
      <c r="AN388" s="32"/>
      <c r="AO388" s="57"/>
    </row>
    <row r="389" spans="6:41">
      <c r="F389" s="31"/>
      <c r="M389" s="31"/>
      <c r="U389" s="31"/>
      <c r="AC389" s="31"/>
      <c r="AN389" s="32"/>
      <c r="AO389" s="57"/>
    </row>
    <row r="390" spans="6:41">
      <c r="F390" s="31"/>
      <c r="M390" s="31"/>
      <c r="U390" s="31"/>
      <c r="AC390" s="31"/>
      <c r="AN390" s="32"/>
      <c r="AO390" s="57"/>
    </row>
    <row r="391" spans="6:41">
      <c r="F391" s="31"/>
      <c r="M391" s="31"/>
      <c r="U391" s="31"/>
      <c r="AC391" s="31"/>
      <c r="AN391" s="32"/>
      <c r="AO391" s="57"/>
    </row>
    <row r="392" spans="6:41">
      <c r="F392" s="31"/>
      <c r="M392" s="31"/>
      <c r="U392" s="31"/>
      <c r="AC392" s="31"/>
      <c r="AN392" s="32"/>
      <c r="AO392" s="57"/>
    </row>
    <row r="393" spans="6:41">
      <c r="F393" s="31"/>
      <c r="M393" s="31"/>
      <c r="U393" s="31"/>
      <c r="AC393" s="31"/>
      <c r="AN393" s="32"/>
      <c r="AO393" s="57"/>
    </row>
    <row r="394" spans="6:41">
      <c r="F394" s="31"/>
      <c r="M394" s="31"/>
      <c r="U394" s="31"/>
      <c r="AC394" s="31"/>
      <c r="AN394" s="32"/>
      <c r="AO394" s="57"/>
    </row>
    <row r="395" spans="6:41">
      <c r="F395" s="31"/>
      <c r="M395" s="31"/>
      <c r="U395" s="31"/>
      <c r="AC395" s="31"/>
      <c r="AN395" s="32"/>
      <c r="AO395" s="57"/>
    </row>
    <row r="396" spans="6:41">
      <c r="F396" s="31"/>
      <c r="M396" s="31"/>
      <c r="U396" s="31"/>
      <c r="AC396" s="31"/>
      <c r="AN396" s="32"/>
      <c r="AO396" s="57"/>
    </row>
    <row r="397" spans="6:41">
      <c r="F397" s="31"/>
      <c r="M397" s="31"/>
      <c r="U397" s="31"/>
      <c r="AC397" s="31"/>
      <c r="AN397" s="32"/>
      <c r="AO397" s="57"/>
    </row>
    <row r="398" spans="6:41">
      <c r="F398" s="31"/>
      <c r="M398" s="31"/>
      <c r="U398" s="31"/>
      <c r="AC398" s="31"/>
      <c r="AN398" s="32"/>
      <c r="AO398" s="57"/>
    </row>
    <row r="399" spans="6:41">
      <c r="F399" s="31"/>
      <c r="M399" s="31"/>
      <c r="U399" s="31"/>
      <c r="AC399" s="31"/>
      <c r="AN399" s="32"/>
      <c r="AO399" s="57"/>
    </row>
    <row r="400" spans="6:41">
      <c r="F400" s="31"/>
      <c r="M400" s="31"/>
      <c r="U400" s="31"/>
      <c r="AC400" s="31"/>
      <c r="AN400" s="32"/>
      <c r="AO400" s="57"/>
    </row>
    <row r="401" spans="6:41">
      <c r="F401" s="31"/>
      <c r="M401" s="31"/>
      <c r="U401" s="31"/>
      <c r="AC401" s="31"/>
      <c r="AN401" s="32"/>
      <c r="AO401" s="57"/>
    </row>
    <row r="402" spans="6:41">
      <c r="F402" s="31"/>
      <c r="M402" s="31"/>
      <c r="U402" s="31"/>
      <c r="AC402" s="31"/>
      <c r="AN402" s="32"/>
      <c r="AO402" s="57"/>
    </row>
    <row r="403" spans="6:41">
      <c r="F403" s="31"/>
      <c r="M403" s="31"/>
      <c r="U403" s="31"/>
      <c r="AC403" s="31"/>
      <c r="AN403" s="32"/>
      <c r="AO403" s="57"/>
    </row>
    <row r="404" spans="6:41">
      <c r="F404" s="31"/>
      <c r="M404" s="31"/>
      <c r="U404" s="31"/>
      <c r="AC404" s="31"/>
      <c r="AN404" s="32"/>
      <c r="AO404" s="57"/>
    </row>
    <row r="405" spans="6:41">
      <c r="F405" s="31"/>
      <c r="M405" s="31"/>
      <c r="U405" s="31"/>
      <c r="AC405" s="31"/>
      <c r="AN405" s="32"/>
      <c r="AO405" s="57"/>
    </row>
    <row r="406" spans="6:41">
      <c r="F406" s="31"/>
      <c r="M406" s="31"/>
      <c r="U406" s="31"/>
      <c r="AC406" s="31"/>
      <c r="AN406" s="32"/>
      <c r="AO406" s="57"/>
    </row>
    <row r="407" spans="6:41">
      <c r="F407" s="31"/>
      <c r="M407" s="31"/>
      <c r="U407" s="31"/>
      <c r="AC407" s="31"/>
      <c r="AN407" s="32"/>
      <c r="AO407" s="57"/>
    </row>
    <row r="408" spans="6:41">
      <c r="F408" s="31"/>
      <c r="M408" s="31"/>
      <c r="U408" s="31"/>
      <c r="AC408" s="31"/>
      <c r="AN408" s="32"/>
      <c r="AO408" s="57"/>
    </row>
    <row r="409" spans="6:41">
      <c r="F409" s="31"/>
      <c r="M409" s="31"/>
      <c r="U409" s="31"/>
      <c r="AC409" s="31"/>
      <c r="AN409" s="32"/>
      <c r="AO409" s="57"/>
    </row>
    <row r="410" spans="6:41">
      <c r="F410" s="31"/>
      <c r="M410" s="31"/>
      <c r="U410" s="31"/>
      <c r="AC410" s="31"/>
      <c r="AN410" s="32"/>
      <c r="AO410" s="57"/>
    </row>
    <row r="411" spans="6:41">
      <c r="F411" s="31"/>
      <c r="M411" s="31"/>
      <c r="U411" s="31"/>
      <c r="AC411" s="31"/>
      <c r="AN411" s="32"/>
      <c r="AO411" s="57"/>
    </row>
    <row r="412" spans="6:41">
      <c r="F412" s="31"/>
      <c r="M412" s="31"/>
      <c r="U412" s="31"/>
      <c r="AC412" s="31"/>
      <c r="AN412" s="32"/>
      <c r="AO412" s="57"/>
    </row>
    <row r="413" spans="6:41">
      <c r="F413" s="31"/>
      <c r="M413" s="31"/>
      <c r="U413" s="31"/>
      <c r="AC413" s="31"/>
      <c r="AN413" s="32"/>
      <c r="AO413" s="57"/>
    </row>
    <row r="414" spans="6:41">
      <c r="F414" s="31"/>
      <c r="M414" s="31"/>
      <c r="U414" s="31"/>
      <c r="AC414" s="31"/>
      <c r="AN414" s="32"/>
      <c r="AO414" s="57"/>
    </row>
    <row r="415" spans="6:41">
      <c r="F415" s="31"/>
      <c r="M415" s="31"/>
      <c r="U415" s="31"/>
      <c r="AC415" s="31"/>
      <c r="AN415" s="32"/>
      <c r="AO415" s="57"/>
    </row>
    <row r="416" spans="6:41">
      <c r="F416" s="31"/>
      <c r="M416" s="31"/>
      <c r="U416" s="31"/>
      <c r="AC416" s="31"/>
      <c r="AN416" s="32"/>
      <c r="AO416" s="57"/>
    </row>
    <row r="417" spans="6:41">
      <c r="F417" s="31"/>
      <c r="M417" s="31"/>
      <c r="U417" s="31"/>
      <c r="AC417" s="31"/>
      <c r="AN417" s="32"/>
      <c r="AO417" s="57"/>
    </row>
    <row r="418" spans="6:41">
      <c r="F418" s="31"/>
      <c r="M418" s="31"/>
      <c r="U418" s="31"/>
      <c r="AC418" s="31"/>
      <c r="AN418" s="32"/>
      <c r="AO418" s="57"/>
    </row>
    <row r="419" spans="6:41">
      <c r="F419" s="31"/>
      <c r="M419" s="31"/>
      <c r="U419" s="31"/>
      <c r="AC419" s="31"/>
      <c r="AN419" s="32"/>
      <c r="AO419" s="57"/>
    </row>
    <row r="420" spans="6:41">
      <c r="F420" s="31"/>
      <c r="M420" s="31"/>
      <c r="U420" s="31"/>
      <c r="AC420" s="31"/>
      <c r="AN420" s="32"/>
      <c r="AO420" s="57"/>
    </row>
    <row r="421" spans="6:41">
      <c r="F421" s="31"/>
      <c r="M421" s="31"/>
      <c r="U421" s="31"/>
      <c r="AC421" s="31"/>
      <c r="AN421" s="32"/>
      <c r="AO421" s="57"/>
    </row>
    <row r="422" spans="6:41">
      <c r="F422" s="31"/>
      <c r="M422" s="31"/>
      <c r="U422" s="31"/>
      <c r="AC422" s="31"/>
      <c r="AN422" s="32"/>
      <c r="AO422" s="57"/>
    </row>
    <row r="423" spans="6:41">
      <c r="F423" s="31"/>
      <c r="M423" s="31"/>
      <c r="U423" s="31"/>
      <c r="AC423" s="31"/>
      <c r="AN423" s="32"/>
      <c r="AO423" s="57"/>
    </row>
    <row r="424" spans="6:41">
      <c r="F424" s="31"/>
      <c r="M424" s="31"/>
      <c r="U424" s="31"/>
      <c r="AC424" s="31"/>
      <c r="AN424" s="32"/>
      <c r="AO424" s="57"/>
    </row>
    <row r="425" spans="6:41">
      <c r="F425" s="31"/>
      <c r="M425" s="31"/>
      <c r="U425" s="31"/>
      <c r="AC425" s="31"/>
      <c r="AN425" s="32"/>
      <c r="AO425" s="57"/>
    </row>
    <row r="426" spans="6:41">
      <c r="F426" s="31"/>
      <c r="M426" s="31"/>
      <c r="U426" s="31"/>
      <c r="AC426" s="31"/>
      <c r="AN426" s="32"/>
      <c r="AO426" s="57"/>
    </row>
    <row r="427" spans="6:41">
      <c r="F427" s="31"/>
      <c r="M427" s="31"/>
      <c r="U427" s="31"/>
      <c r="AC427" s="31"/>
      <c r="AN427" s="32"/>
      <c r="AO427" s="57"/>
    </row>
    <row r="428" spans="6:41">
      <c r="F428" s="31"/>
      <c r="M428" s="31"/>
      <c r="U428" s="31"/>
      <c r="AC428" s="31"/>
      <c r="AN428" s="32"/>
      <c r="AO428" s="57"/>
    </row>
    <row r="429" spans="6:41">
      <c r="F429" s="31"/>
      <c r="M429" s="31"/>
      <c r="U429" s="31"/>
      <c r="AC429" s="31"/>
      <c r="AN429" s="32"/>
      <c r="AO429" s="57"/>
    </row>
    <row r="430" spans="6:41">
      <c r="F430" s="31"/>
      <c r="M430" s="31"/>
      <c r="U430" s="31"/>
      <c r="AC430" s="31"/>
      <c r="AN430" s="32"/>
      <c r="AO430" s="57"/>
    </row>
    <row r="431" spans="6:41">
      <c r="F431" s="31"/>
      <c r="M431" s="31"/>
      <c r="U431" s="31"/>
      <c r="AC431" s="31"/>
      <c r="AN431" s="32"/>
      <c r="AO431" s="57"/>
    </row>
    <row r="432" spans="6:41">
      <c r="F432" s="31"/>
      <c r="M432" s="31"/>
      <c r="U432" s="31"/>
      <c r="AC432" s="31"/>
      <c r="AN432" s="32"/>
      <c r="AO432" s="57"/>
    </row>
    <row r="433" spans="6:41">
      <c r="F433" s="31"/>
      <c r="M433" s="31"/>
      <c r="U433" s="31"/>
      <c r="AC433" s="31"/>
      <c r="AN433" s="32"/>
      <c r="AO433" s="57"/>
    </row>
    <row r="434" spans="6:41">
      <c r="F434" s="31"/>
      <c r="M434" s="31"/>
      <c r="U434" s="31"/>
      <c r="AC434" s="31"/>
      <c r="AN434" s="32"/>
      <c r="AO434" s="57"/>
    </row>
    <row r="435" spans="6:41">
      <c r="F435" s="31"/>
      <c r="M435" s="31"/>
      <c r="U435" s="31"/>
      <c r="AC435" s="31"/>
      <c r="AN435" s="32"/>
      <c r="AO435" s="57"/>
    </row>
    <row r="436" spans="6:41">
      <c r="F436" s="31"/>
      <c r="M436" s="31"/>
      <c r="U436" s="31"/>
      <c r="AC436" s="31"/>
      <c r="AN436" s="32"/>
      <c r="AO436" s="57"/>
    </row>
    <row r="437" spans="6:41">
      <c r="F437" s="31"/>
      <c r="M437" s="31"/>
      <c r="U437" s="31"/>
      <c r="AC437" s="31"/>
      <c r="AN437" s="32"/>
      <c r="AO437" s="57"/>
    </row>
    <row r="438" spans="6:41">
      <c r="F438" s="31"/>
      <c r="M438" s="31"/>
      <c r="U438" s="31"/>
      <c r="AC438" s="31"/>
      <c r="AN438" s="32"/>
      <c r="AO438" s="57"/>
    </row>
    <row r="439" spans="6:41">
      <c r="F439" s="31"/>
      <c r="M439" s="31"/>
      <c r="U439" s="31"/>
      <c r="AC439" s="31"/>
      <c r="AN439" s="32"/>
      <c r="AO439" s="57"/>
    </row>
    <row r="440" spans="6:41">
      <c r="F440" s="31"/>
      <c r="M440" s="31"/>
      <c r="U440" s="31"/>
      <c r="AC440" s="31"/>
      <c r="AN440" s="32"/>
      <c r="AO440" s="57"/>
    </row>
    <row r="441" spans="6:41">
      <c r="F441" s="31"/>
      <c r="M441" s="31"/>
      <c r="U441" s="31"/>
      <c r="AC441" s="31"/>
      <c r="AN441" s="32"/>
      <c r="AO441" s="57"/>
    </row>
    <row r="442" spans="6:41">
      <c r="F442" s="31"/>
      <c r="M442" s="31"/>
      <c r="U442" s="31"/>
      <c r="AC442" s="31"/>
      <c r="AN442" s="32"/>
      <c r="AO442" s="57"/>
    </row>
    <row r="443" spans="6:41">
      <c r="F443" s="31"/>
      <c r="M443" s="31"/>
      <c r="U443" s="31"/>
      <c r="AC443" s="31"/>
      <c r="AN443" s="32"/>
      <c r="AO443" s="57"/>
    </row>
    <row r="444" spans="6:41">
      <c r="F444" s="31"/>
      <c r="M444" s="31"/>
      <c r="U444" s="31"/>
      <c r="AC444" s="31"/>
      <c r="AN444" s="32"/>
      <c r="AO444" s="57"/>
    </row>
    <row r="445" spans="6:41">
      <c r="F445" s="31"/>
      <c r="M445" s="31"/>
      <c r="U445" s="31"/>
      <c r="AC445" s="31"/>
      <c r="AN445" s="32"/>
      <c r="AO445" s="57"/>
    </row>
    <row r="446" spans="6:41">
      <c r="F446" s="31"/>
      <c r="M446" s="31"/>
      <c r="U446" s="31"/>
      <c r="AC446" s="31"/>
      <c r="AN446" s="32"/>
      <c r="AO446" s="57"/>
    </row>
    <row r="447" spans="6:41">
      <c r="F447" s="31"/>
      <c r="M447" s="31"/>
      <c r="U447" s="31"/>
      <c r="AC447" s="31"/>
      <c r="AN447" s="32"/>
      <c r="AO447" s="57"/>
    </row>
    <row r="448" spans="6:41">
      <c r="F448" s="31"/>
      <c r="M448" s="31"/>
      <c r="U448" s="31"/>
      <c r="AC448" s="31"/>
      <c r="AN448" s="32"/>
      <c r="AO448" s="57"/>
    </row>
    <row r="449" spans="6:41">
      <c r="F449" s="31"/>
      <c r="M449" s="31"/>
      <c r="U449" s="31"/>
      <c r="AC449" s="31"/>
      <c r="AN449" s="32"/>
      <c r="AO449" s="57"/>
    </row>
    <row r="450" spans="6:41">
      <c r="F450" s="31"/>
      <c r="M450" s="31"/>
      <c r="U450" s="31"/>
      <c r="AC450" s="31"/>
      <c r="AN450" s="32"/>
      <c r="AO450" s="57"/>
    </row>
    <row r="451" spans="6:41">
      <c r="F451" s="31"/>
      <c r="M451" s="31"/>
      <c r="U451" s="31"/>
      <c r="AC451" s="31"/>
      <c r="AN451" s="32"/>
      <c r="AO451" s="57"/>
    </row>
    <row r="452" spans="6:41">
      <c r="F452" s="31"/>
      <c r="M452" s="31"/>
      <c r="U452" s="31"/>
      <c r="AC452" s="31"/>
      <c r="AN452" s="32"/>
      <c r="AO452" s="57"/>
    </row>
    <row r="453" spans="6:41">
      <c r="F453" s="31"/>
      <c r="M453" s="31"/>
      <c r="U453" s="31"/>
      <c r="AC453" s="31"/>
      <c r="AN453" s="32"/>
      <c r="AO453" s="57"/>
    </row>
    <row r="454" spans="6:41">
      <c r="F454" s="31"/>
      <c r="M454" s="31"/>
      <c r="U454" s="31"/>
      <c r="AC454" s="31"/>
      <c r="AN454" s="32"/>
      <c r="AO454" s="57"/>
    </row>
    <row r="455" spans="6:41">
      <c r="F455" s="31"/>
      <c r="M455" s="31"/>
      <c r="U455" s="31"/>
      <c r="AC455" s="31"/>
      <c r="AN455" s="32"/>
      <c r="AO455" s="57"/>
    </row>
    <row r="456" spans="6:41">
      <c r="F456" s="31"/>
      <c r="M456" s="31"/>
      <c r="U456" s="31"/>
      <c r="AC456" s="31"/>
      <c r="AN456" s="32"/>
      <c r="AO456" s="57"/>
    </row>
    <row r="457" spans="6:41">
      <c r="F457" s="31"/>
      <c r="M457" s="31"/>
      <c r="U457" s="31"/>
      <c r="AC457" s="31"/>
      <c r="AN457" s="32"/>
      <c r="AO457" s="57"/>
    </row>
    <row r="458" spans="6:41">
      <c r="F458" s="31"/>
      <c r="M458" s="31"/>
      <c r="U458" s="31"/>
      <c r="AC458" s="31"/>
      <c r="AN458" s="32"/>
      <c r="AO458" s="57"/>
    </row>
    <row r="459" spans="6:41">
      <c r="F459" s="31"/>
      <c r="M459" s="31"/>
      <c r="U459" s="31"/>
      <c r="AC459" s="31"/>
      <c r="AN459" s="32"/>
      <c r="AO459" s="57"/>
    </row>
    <row r="460" spans="6:41">
      <c r="F460" s="31"/>
      <c r="M460" s="31"/>
      <c r="U460" s="31"/>
      <c r="AC460" s="31"/>
      <c r="AN460" s="32"/>
      <c r="AO460" s="57"/>
    </row>
    <row r="461" spans="6:41">
      <c r="F461" s="31"/>
      <c r="M461" s="31"/>
      <c r="U461" s="31"/>
      <c r="AC461" s="31"/>
      <c r="AN461" s="32"/>
      <c r="AO461" s="57"/>
    </row>
    <row r="462" spans="6:41">
      <c r="F462" s="31"/>
      <c r="M462" s="31"/>
      <c r="U462" s="31"/>
      <c r="AC462" s="31"/>
      <c r="AN462" s="32"/>
      <c r="AO462" s="57"/>
    </row>
    <row r="463" spans="6:41">
      <c r="F463" s="31"/>
      <c r="M463" s="31"/>
      <c r="U463" s="31"/>
      <c r="AC463" s="31"/>
      <c r="AN463" s="32"/>
      <c r="AO463" s="57"/>
    </row>
    <row r="464" spans="6:41">
      <c r="F464" s="31"/>
      <c r="M464" s="31"/>
      <c r="U464" s="31"/>
      <c r="AC464" s="31"/>
      <c r="AN464" s="32"/>
      <c r="AO464" s="57"/>
    </row>
    <row r="465" spans="6:41">
      <c r="F465" s="31"/>
      <c r="M465" s="31"/>
      <c r="U465" s="31"/>
      <c r="AC465" s="31"/>
      <c r="AN465" s="32"/>
      <c r="AO465" s="57"/>
    </row>
    <row r="466" spans="6:41">
      <c r="F466" s="31"/>
      <c r="M466" s="31"/>
      <c r="U466" s="31"/>
      <c r="AC466" s="31"/>
      <c r="AN466" s="32"/>
      <c r="AO466" s="57"/>
    </row>
    <row r="467" spans="6:41">
      <c r="F467" s="31"/>
      <c r="M467" s="31"/>
      <c r="U467" s="31"/>
      <c r="AC467" s="31"/>
      <c r="AN467" s="32"/>
      <c r="AO467" s="57"/>
    </row>
    <row r="468" spans="6:41">
      <c r="F468" s="31"/>
      <c r="M468" s="31"/>
      <c r="U468" s="31"/>
      <c r="AC468" s="31"/>
      <c r="AN468" s="32"/>
      <c r="AO468" s="57"/>
    </row>
    <row r="469" spans="6:41">
      <c r="F469" s="31"/>
      <c r="M469" s="31"/>
      <c r="U469" s="31"/>
      <c r="AC469" s="31"/>
      <c r="AN469" s="32"/>
      <c r="AO469" s="57"/>
    </row>
    <row r="470" spans="6:41">
      <c r="F470" s="31"/>
      <c r="M470" s="31"/>
      <c r="U470" s="31"/>
      <c r="AC470" s="31"/>
      <c r="AN470" s="32"/>
      <c r="AO470" s="57"/>
    </row>
    <row r="471" spans="6:41">
      <c r="F471" s="31"/>
      <c r="M471" s="31"/>
      <c r="U471" s="31"/>
      <c r="AC471" s="31"/>
      <c r="AN471" s="32"/>
      <c r="AO471" s="57"/>
    </row>
    <row r="472" spans="6:41">
      <c r="F472" s="31"/>
      <c r="M472" s="31"/>
      <c r="U472" s="31"/>
      <c r="AC472" s="31"/>
      <c r="AN472" s="32"/>
      <c r="AO472" s="57"/>
    </row>
    <row r="473" spans="6:41">
      <c r="F473" s="31"/>
      <c r="M473" s="31"/>
      <c r="U473" s="31"/>
      <c r="AC473" s="31"/>
      <c r="AN473" s="32"/>
      <c r="AO473" s="57"/>
    </row>
    <row r="474" spans="6:41">
      <c r="F474" s="31"/>
      <c r="M474" s="31"/>
      <c r="U474" s="31"/>
      <c r="AC474" s="31"/>
      <c r="AN474" s="32"/>
      <c r="AO474" s="57"/>
    </row>
    <row r="475" spans="6:41">
      <c r="F475" s="31"/>
      <c r="M475" s="31"/>
      <c r="U475" s="31"/>
      <c r="AC475" s="31"/>
      <c r="AN475" s="32"/>
      <c r="AO475" s="57"/>
    </row>
    <row r="476" spans="6:41">
      <c r="F476" s="31"/>
      <c r="M476" s="31"/>
      <c r="U476" s="31"/>
      <c r="AC476" s="31"/>
      <c r="AN476" s="32"/>
      <c r="AO476" s="57"/>
    </row>
    <row r="477" spans="6:41">
      <c r="F477" s="31"/>
      <c r="M477" s="31"/>
      <c r="U477" s="31"/>
      <c r="AC477" s="31"/>
      <c r="AN477" s="32"/>
      <c r="AO477" s="57"/>
    </row>
    <row r="478" spans="6:41">
      <c r="F478" s="31"/>
      <c r="M478" s="31"/>
      <c r="U478" s="31"/>
      <c r="AC478" s="31"/>
      <c r="AN478" s="32"/>
      <c r="AO478" s="57"/>
    </row>
    <row r="479" spans="6:41">
      <c r="F479" s="31"/>
      <c r="M479" s="31"/>
      <c r="U479" s="31"/>
      <c r="AC479" s="31"/>
      <c r="AN479" s="32"/>
      <c r="AO479" s="57"/>
    </row>
    <row r="480" spans="6:41">
      <c r="F480" s="31"/>
      <c r="M480" s="31"/>
      <c r="U480" s="31"/>
      <c r="AC480" s="31"/>
      <c r="AN480" s="32"/>
      <c r="AO480" s="57"/>
    </row>
    <row r="481" spans="6:41">
      <c r="F481" s="31"/>
      <c r="M481" s="31"/>
      <c r="U481" s="31"/>
      <c r="AC481" s="31"/>
      <c r="AN481" s="32"/>
      <c r="AO481" s="57"/>
    </row>
    <row r="482" spans="6:41">
      <c r="F482" s="31"/>
      <c r="M482" s="31"/>
      <c r="U482" s="31"/>
      <c r="AC482" s="31"/>
      <c r="AN482" s="32"/>
      <c r="AO482" s="57"/>
    </row>
    <row r="483" spans="6:41">
      <c r="F483" s="31"/>
      <c r="M483" s="31"/>
      <c r="U483" s="31"/>
      <c r="AC483" s="31"/>
      <c r="AN483" s="32"/>
      <c r="AO483" s="57"/>
    </row>
    <row r="484" spans="6:41">
      <c r="F484" s="31"/>
      <c r="M484" s="31"/>
      <c r="U484" s="31"/>
      <c r="AC484" s="31"/>
      <c r="AN484" s="32"/>
      <c r="AO484" s="57"/>
    </row>
    <row r="485" spans="6:41">
      <c r="F485" s="31"/>
      <c r="M485" s="31"/>
      <c r="U485" s="31"/>
      <c r="AC485" s="31"/>
      <c r="AN485" s="32"/>
      <c r="AO485" s="57"/>
    </row>
    <row r="486" spans="6:41">
      <c r="F486" s="31"/>
      <c r="M486" s="31"/>
      <c r="U486" s="31"/>
      <c r="AC486" s="31"/>
      <c r="AN486" s="32"/>
      <c r="AO486" s="57"/>
    </row>
    <row r="487" spans="6:41">
      <c r="F487" s="31"/>
      <c r="M487" s="31"/>
      <c r="U487" s="31"/>
      <c r="AC487" s="31"/>
      <c r="AN487" s="32"/>
      <c r="AO487" s="57"/>
    </row>
    <row r="488" spans="6:41">
      <c r="F488" s="31"/>
      <c r="M488" s="31"/>
      <c r="U488" s="31"/>
      <c r="AC488" s="31"/>
      <c r="AN488" s="32"/>
      <c r="AO488" s="57"/>
    </row>
    <row r="489" spans="6:41">
      <c r="F489" s="31"/>
      <c r="M489" s="31"/>
      <c r="U489" s="31"/>
      <c r="AC489" s="31"/>
      <c r="AN489" s="32"/>
      <c r="AO489" s="57"/>
    </row>
    <row r="490" spans="6:41">
      <c r="F490" s="31"/>
      <c r="M490" s="31"/>
      <c r="U490" s="31"/>
      <c r="AC490" s="31"/>
      <c r="AN490" s="32"/>
      <c r="AO490" s="57"/>
    </row>
    <row r="491" spans="6:41">
      <c r="F491" s="31"/>
      <c r="M491" s="31"/>
      <c r="U491" s="31"/>
      <c r="AC491" s="31"/>
      <c r="AN491" s="32"/>
      <c r="AO491" s="57"/>
    </row>
    <row r="492" spans="6:41">
      <c r="F492" s="31"/>
      <c r="M492" s="31"/>
      <c r="U492" s="31"/>
      <c r="AC492" s="31"/>
      <c r="AN492" s="32"/>
      <c r="AO492" s="57"/>
    </row>
    <row r="493" spans="6:41">
      <c r="F493" s="31"/>
      <c r="M493" s="31"/>
      <c r="U493" s="31"/>
      <c r="AC493" s="31"/>
      <c r="AN493" s="32"/>
      <c r="AO493" s="57"/>
    </row>
    <row r="494" spans="6:41">
      <c r="F494" s="31"/>
      <c r="M494" s="31"/>
      <c r="U494" s="31"/>
      <c r="AC494" s="31"/>
      <c r="AN494" s="32"/>
      <c r="AO494" s="57"/>
    </row>
    <row r="495" spans="6:41">
      <c r="F495" s="31"/>
      <c r="M495" s="31"/>
      <c r="U495" s="31"/>
      <c r="AC495" s="31"/>
      <c r="AN495" s="32"/>
      <c r="AO495" s="57"/>
    </row>
    <row r="496" spans="6:41">
      <c r="F496" s="31"/>
      <c r="M496" s="31"/>
      <c r="U496" s="31"/>
      <c r="AC496" s="31"/>
      <c r="AN496" s="32"/>
      <c r="AO496" s="57"/>
    </row>
    <row r="497" spans="6:41">
      <c r="F497" s="31"/>
      <c r="M497" s="31"/>
      <c r="U497" s="31"/>
      <c r="AC497" s="31"/>
      <c r="AN497" s="32"/>
      <c r="AO497" s="57"/>
    </row>
    <row r="498" spans="6:41">
      <c r="F498" s="31"/>
      <c r="M498" s="31"/>
      <c r="U498" s="31"/>
      <c r="AC498" s="31"/>
      <c r="AN498" s="32"/>
      <c r="AO498" s="57"/>
    </row>
    <row r="499" spans="6:41">
      <c r="F499" s="31"/>
      <c r="M499" s="31"/>
      <c r="U499" s="31"/>
      <c r="AC499" s="31"/>
      <c r="AN499" s="32"/>
      <c r="AO499" s="57"/>
    </row>
    <row r="500" spans="6:41">
      <c r="F500" s="31"/>
      <c r="M500" s="31"/>
      <c r="U500" s="31"/>
      <c r="AC500" s="31"/>
      <c r="AN500" s="32"/>
      <c r="AO500" s="57"/>
    </row>
    <row r="501" spans="6:41">
      <c r="F501" s="31"/>
      <c r="M501" s="31"/>
      <c r="U501" s="31"/>
      <c r="AC501" s="31"/>
      <c r="AN501" s="32"/>
      <c r="AO501" s="57"/>
    </row>
    <row r="502" spans="6:41">
      <c r="F502" s="31"/>
      <c r="M502" s="31"/>
      <c r="U502" s="31"/>
      <c r="AC502" s="31"/>
      <c r="AN502" s="32"/>
      <c r="AO502" s="57"/>
    </row>
    <row r="503" spans="6:41">
      <c r="F503" s="31"/>
      <c r="M503" s="31"/>
      <c r="U503" s="31"/>
      <c r="AC503" s="31"/>
      <c r="AN503" s="32"/>
      <c r="AO503" s="57"/>
    </row>
    <row r="504" spans="6:41">
      <c r="F504" s="31"/>
      <c r="M504" s="31"/>
      <c r="U504" s="31"/>
      <c r="AC504" s="31"/>
      <c r="AN504" s="32"/>
      <c r="AO504" s="57"/>
    </row>
    <row r="505" spans="6:41">
      <c r="F505" s="31"/>
      <c r="M505" s="31"/>
      <c r="U505" s="31"/>
      <c r="AC505" s="31"/>
      <c r="AN505" s="32"/>
      <c r="AO505" s="57"/>
    </row>
    <row r="506" spans="6:41">
      <c r="F506" s="31"/>
      <c r="M506" s="31"/>
      <c r="U506" s="31"/>
      <c r="AC506" s="31"/>
      <c r="AN506" s="32"/>
      <c r="AO506" s="57"/>
    </row>
    <row r="507" spans="6:41">
      <c r="F507" s="31"/>
      <c r="M507" s="31"/>
      <c r="U507" s="31"/>
      <c r="AC507" s="31"/>
      <c r="AN507" s="32"/>
      <c r="AO507" s="57"/>
    </row>
    <row r="508" spans="6:41">
      <c r="F508" s="31"/>
      <c r="M508" s="31"/>
      <c r="U508" s="31"/>
      <c r="AC508" s="31"/>
      <c r="AN508" s="32"/>
      <c r="AO508" s="57"/>
    </row>
    <row r="509" spans="6:41">
      <c r="F509" s="31"/>
      <c r="M509" s="31"/>
      <c r="U509" s="31"/>
      <c r="AC509" s="31"/>
      <c r="AN509" s="32"/>
      <c r="AO509" s="57"/>
    </row>
    <row r="510" spans="6:41">
      <c r="F510" s="31"/>
      <c r="M510" s="31"/>
      <c r="U510" s="31"/>
      <c r="AC510" s="31"/>
      <c r="AN510" s="32"/>
      <c r="AO510" s="57"/>
    </row>
    <row r="511" spans="6:41">
      <c r="F511" s="31"/>
      <c r="M511" s="31"/>
      <c r="U511" s="31"/>
      <c r="AC511" s="31"/>
      <c r="AN511" s="32"/>
      <c r="AO511" s="57"/>
    </row>
    <row r="512" spans="6:41">
      <c r="F512" s="31"/>
      <c r="M512" s="31"/>
      <c r="U512" s="31"/>
      <c r="AC512" s="31"/>
      <c r="AN512" s="32"/>
      <c r="AO512" s="57"/>
    </row>
    <row r="513" spans="6:41">
      <c r="F513" s="31"/>
      <c r="M513" s="31"/>
      <c r="U513" s="31"/>
      <c r="AC513" s="31"/>
      <c r="AN513" s="32"/>
      <c r="AO513" s="57"/>
    </row>
    <row r="514" spans="6:41">
      <c r="F514" s="31"/>
      <c r="M514" s="31"/>
      <c r="U514" s="31"/>
      <c r="AC514" s="31"/>
      <c r="AN514" s="32"/>
      <c r="AO514" s="57"/>
    </row>
    <row r="515" spans="6:41">
      <c r="F515" s="31"/>
      <c r="M515" s="31"/>
      <c r="U515" s="31"/>
      <c r="AC515" s="31"/>
      <c r="AN515" s="32"/>
      <c r="AO515" s="57"/>
    </row>
    <row r="516" spans="6:41">
      <c r="F516" s="31"/>
      <c r="M516" s="31"/>
      <c r="U516" s="31"/>
      <c r="AC516" s="31"/>
      <c r="AN516" s="32"/>
      <c r="AO516" s="57"/>
    </row>
    <row r="517" spans="6:41">
      <c r="F517" s="31"/>
      <c r="M517" s="31"/>
      <c r="U517" s="31"/>
      <c r="AC517" s="31"/>
      <c r="AN517" s="32"/>
      <c r="AO517" s="57"/>
    </row>
    <row r="518" spans="6:41">
      <c r="F518" s="31"/>
      <c r="M518" s="31"/>
      <c r="U518" s="31"/>
      <c r="AC518" s="31"/>
      <c r="AN518" s="32"/>
      <c r="AO518" s="57"/>
    </row>
    <row r="519" spans="6:41">
      <c r="F519" s="31"/>
      <c r="M519" s="31"/>
      <c r="U519" s="31"/>
      <c r="AC519" s="31"/>
      <c r="AN519" s="32"/>
      <c r="AO519" s="57"/>
    </row>
    <row r="520" spans="6:41">
      <c r="F520" s="31"/>
      <c r="M520" s="31"/>
      <c r="U520" s="31"/>
      <c r="AC520" s="31"/>
      <c r="AN520" s="32"/>
      <c r="AO520" s="57"/>
    </row>
    <row r="521" spans="6:41">
      <c r="F521" s="31"/>
      <c r="M521" s="31"/>
      <c r="U521" s="31"/>
      <c r="AC521" s="31"/>
      <c r="AN521" s="32"/>
      <c r="AO521" s="57"/>
    </row>
    <row r="522" spans="6:41">
      <c r="F522" s="31"/>
      <c r="M522" s="31"/>
      <c r="U522" s="31"/>
      <c r="AC522" s="31"/>
      <c r="AN522" s="32"/>
      <c r="AO522" s="57"/>
    </row>
    <row r="523" spans="6:41">
      <c r="F523" s="31"/>
      <c r="M523" s="31"/>
      <c r="U523" s="31"/>
      <c r="AC523" s="31"/>
      <c r="AN523" s="32"/>
      <c r="AO523" s="57"/>
    </row>
    <row r="524" spans="6:41">
      <c r="F524" s="31"/>
      <c r="M524" s="31"/>
      <c r="U524" s="31"/>
      <c r="AC524" s="31"/>
      <c r="AN524" s="32"/>
      <c r="AO524" s="57"/>
    </row>
    <row r="525" spans="6:41">
      <c r="F525" s="31"/>
      <c r="M525" s="31"/>
      <c r="U525" s="31"/>
      <c r="AC525" s="31"/>
      <c r="AN525" s="32"/>
      <c r="AO525" s="57"/>
    </row>
    <row r="526" spans="6:41">
      <c r="F526" s="31"/>
      <c r="M526" s="31"/>
      <c r="U526" s="31"/>
      <c r="AC526" s="31"/>
      <c r="AN526" s="32"/>
      <c r="AO526" s="57"/>
    </row>
    <row r="527" spans="6:41">
      <c r="F527" s="31"/>
      <c r="M527" s="31"/>
      <c r="U527" s="31"/>
      <c r="AC527" s="31"/>
      <c r="AN527" s="32"/>
      <c r="AO527" s="57"/>
    </row>
    <row r="528" spans="6:41">
      <c r="F528" s="31"/>
      <c r="M528" s="31"/>
      <c r="U528" s="31"/>
      <c r="AC528" s="31"/>
      <c r="AN528" s="32"/>
      <c r="AO528" s="57"/>
    </row>
    <row r="529" spans="6:41">
      <c r="F529" s="31"/>
      <c r="M529" s="31"/>
      <c r="U529" s="31"/>
      <c r="AC529" s="31"/>
      <c r="AN529" s="32"/>
      <c r="AO529" s="57"/>
    </row>
    <row r="530" spans="6:41">
      <c r="F530" s="31"/>
      <c r="M530" s="31"/>
      <c r="U530" s="31"/>
      <c r="AC530" s="31"/>
      <c r="AN530" s="32"/>
      <c r="AO530" s="57"/>
    </row>
    <row r="531" spans="6:41">
      <c r="F531" s="31"/>
      <c r="M531" s="31"/>
      <c r="U531" s="31"/>
      <c r="AC531" s="31"/>
      <c r="AN531" s="32"/>
      <c r="AO531" s="57"/>
    </row>
    <row r="532" spans="6:41">
      <c r="F532" s="31"/>
      <c r="M532" s="31"/>
      <c r="U532" s="31"/>
      <c r="AC532" s="31"/>
      <c r="AN532" s="32"/>
      <c r="AO532" s="57"/>
    </row>
    <row r="533" spans="6:41">
      <c r="F533" s="31"/>
      <c r="M533" s="31"/>
      <c r="U533" s="31"/>
      <c r="AC533" s="31"/>
      <c r="AN533" s="32"/>
      <c r="AO533" s="57"/>
    </row>
    <row r="534" spans="6:41">
      <c r="F534" s="31"/>
      <c r="M534" s="31"/>
      <c r="U534" s="31"/>
      <c r="AC534" s="31"/>
      <c r="AN534" s="32"/>
      <c r="AO534" s="57"/>
    </row>
    <row r="535" spans="6:41">
      <c r="F535" s="31"/>
      <c r="M535" s="31"/>
      <c r="U535" s="31"/>
      <c r="AC535" s="31"/>
      <c r="AN535" s="32"/>
      <c r="AO535" s="57"/>
    </row>
    <row r="536" spans="6:41">
      <c r="F536" s="31"/>
      <c r="M536" s="31"/>
      <c r="U536" s="31"/>
      <c r="AC536" s="31"/>
      <c r="AN536" s="32"/>
      <c r="AO536" s="57"/>
    </row>
    <row r="537" spans="6:41">
      <c r="F537" s="31"/>
      <c r="M537" s="31"/>
      <c r="U537" s="31"/>
      <c r="AC537" s="31"/>
      <c r="AN537" s="32"/>
      <c r="AO537" s="57"/>
    </row>
    <row r="538" spans="6:41">
      <c r="F538" s="31"/>
      <c r="M538" s="31"/>
      <c r="U538" s="31"/>
      <c r="AC538" s="31"/>
      <c r="AN538" s="32"/>
      <c r="AO538" s="57"/>
    </row>
    <row r="539" spans="6:41">
      <c r="F539" s="31"/>
      <c r="M539" s="31"/>
      <c r="U539" s="31"/>
      <c r="AC539" s="31"/>
      <c r="AN539" s="32"/>
      <c r="AO539" s="57"/>
    </row>
    <row r="540" spans="6:41">
      <c r="F540" s="31"/>
      <c r="M540" s="31"/>
      <c r="U540" s="31"/>
      <c r="AC540" s="31"/>
      <c r="AN540" s="32"/>
      <c r="AO540" s="57"/>
    </row>
    <row r="541" spans="6:41">
      <c r="F541" s="31"/>
      <c r="M541" s="31"/>
      <c r="U541" s="31"/>
      <c r="AC541" s="31"/>
      <c r="AN541" s="32"/>
      <c r="AO541" s="57"/>
    </row>
    <row r="542" spans="6:41">
      <c r="F542" s="31"/>
      <c r="M542" s="31"/>
      <c r="U542" s="31"/>
      <c r="AC542" s="31"/>
      <c r="AN542" s="32"/>
      <c r="AO542" s="57"/>
    </row>
    <row r="543" spans="6:41">
      <c r="F543" s="31"/>
      <c r="M543" s="31"/>
      <c r="U543" s="31"/>
      <c r="AC543" s="31"/>
      <c r="AN543" s="32"/>
      <c r="AO543" s="57"/>
    </row>
    <row r="544" spans="6:41">
      <c r="F544" s="31"/>
      <c r="M544" s="31"/>
      <c r="U544" s="31"/>
      <c r="AC544" s="31"/>
      <c r="AN544" s="32"/>
      <c r="AO544" s="57"/>
    </row>
    <row r="545" spans="6:41">
      <c r="F545" s="31"/>
      <c r="M545" s="31"/>
      <c r="U545" s="31"/>
      <c r="AC545" s="31"/>
      <c r="AN545" s="32"/>
      <c r="AO545" s="57"/>
    </row>
    <row r="546" spans="6:41">
      <c r="F546" s="31"/>
      <c r="M546" s="31"/>
      <c r="U546" s="31"/>
      <c r="AC546" s="31"/>
      <c r="AN546" s="32"/>
      <c r="AO546" s="57"/>
    </row>
    <row r="547" spans="6:41">
      <c r="F547" s="31"/>
      <c r="M547" s="31"/>
      <c r="U547" s="31"/>
      <c r="AC547" s="31"/>
      <c r="AN547" s="32"/>
      <c r="AO547" s="57"/>
    </row>
    <row r="548" spans="6:41">
      <c r="F548" s="31"/>
      <c r="M548" s="31"/>
      <c r="U548" s="31"/>
      <c r="AC548" s="31"/>
      <c r="AN548" s="32"/>
      <c r="AO548" s="57"/>
    </row>
    <row r="549" spans="6:41">
      <c r="F549" s="31"/>
      <c r="M549" s="31"/>
      <c r="U549" s="31"/>
      <c r="AC549" s="31"/>
      <c r="AN549" s="32"/>
      <c r="AO549" s="57"/>
    </row>
    <row r="550" spans="6:41">
      <c r="F550" s="31"/>
      <c r="M550" s="31"/>
      <c r="U550" s="31"/>
      <c r="AC550" s="31"/>
      <c r="AN550" s="32"/>
      <c r="AO550" s="57"/>
    </row>
    <row r="551" spans="6:41">
      <c r="F551" s="31"/>
      <c r="M551" s="31"/>
      <c r="U551" s="31"/>
      <c r="AC551" s="31"/>
      <c r="AN551" s="32"/>
      <c r="AO551" s="57"/>
    </row>
    <row r="552" spans="6:41">
      <c r="F552" s="31"/>
      <c r="M552" s="31"/>
      <c r="U552" s="31"/>
      <c r="AC552" s="31"/>
      <c r="AN552" s="32"/>
      <c r="AO552" s="57"/>
    </row>
    <row r="553" spans="6:41">
      <c r="F553" s="31"/>
      <c r="M553" s="31"/>
      <c r="U553" s="31"/>
      <c r="AC553" s="31"/>
      <c r="AN553" s="32"/>
      <c r="AO553" s="57"/>
    </row>
    <row r="554" spans="6:41">
      <c r="F554" s="31"/>
      <c r="M554" s="31"/>
      <c r="U554" s="31"/>
      <c r="AC554" s="31"/>
      <c r="AN554" s="32"/>
      <c r="AO554" s="57"/>
    </row>
    <row r="555" spans="6:41">
      <c r="F555" s="31"/>
      <c r="M555" s="31"/>
      <c r="U555" s="31"/>
      <c r="AC555" s="31"/>
      <c r="AN555" s="32"/>
      <c r="AO555" s="57"/>
    </row>
    <row r="556" spans="6:41">
      <c r="F556" s="31"/>
      <c r="M556" s="31"/>
      <c r="U556" s="31"/>
      <c r="AC556" s="31"/>
      <c r="AN556" s="32"/>
      <c r="AO556" s="57"/>
    </row>
    <row r="557" spans="6:41">
      <c r="F557" s="31"/>
      <c r="M557" s="31"/>
      <c r="U557" s="31"/>
      <c r="AC557" s="31"/>
      <c r="AN557" s="32"/>
      <c r="AO557" s="57"/>
    </row>
    <row r="558" spans="6:41">
      <c r="F558" s="31"/>
      <c r="M558" s="31"/>
      <c r="U558" s="31"/>
      <c r="AC558" s="31"/>
      <c r="AN558" s="32"/>
      <c r="AO558" s="57"/>
    </row>
    <row r="559" spans="6:41">
      <c r="F559" s="31"/>
      <c r="M559" s="31"/>
      <c r="U559" s="31"/>
      <c r="AC559" s="31"/>
      <c r="AN559" s="32"/>
      <c r="AO559" s="57"/>
    </row>
    <row r="560" spans="6:41">
      <c r="F560" s="31"/>
      <c r="M560" s="31"/>
      <c r="U560" s="31"/>
      <c r="AC560" s="31"/>
      <c r="AN560" s="32"/>
      <c r="AO560" s="57"/>
    </row>
    <row r="561" spans="6:41">
      <c r="F561" s="31"/>
      <c r="M561" s="31"/>
      <c r="U561" s="31"/>
      <c r="AC561" s="31"/>
      <c r="AN561" s="32"/>
      <c r="AO561" s="57"/>
    </row>
    <row r="562" spans="6:41">
      <c r="F562" s="31"/>
      <c r="M562" s="31"/>
      <c r="U562" s="31"/>
      <c r="AC562" s="31"/>
      <c r="AN562" s="32"/>
      <c r="AO562" s="57"/>
    </row>
    <row r="563" spans="6:41">
      <c r="F563" s="31"/>
      <c r="M563" s="31"/>
      <c r="U563" s="31"/>
      <c r="AC563" s="31"/>
      <c r="AN563" s="32"/>
      <c r="AO563" s="57"/>
    </row>
    <row r="564" spans="6:41">
      <c r="F564" s="31"/>
      <c r="M564" s="31"/>
      <c r="U564" s="31"/>
      <c r="AC564" s="31"/>
      <c r="AN564" s="32"/>
      <c r="AO564" s="57"/>
    </row>
    <row r="565" spans="6:41">
      <c r="F565" s="31"/>
      <c r="M565" s="31"/>
      <c r="U565" s="31"/>
      <c r="AC565" s="31"/>
      <c r="AN565" s="32"/>
      <c r="AO565" s="57"/>
    </row>
    <row r="566" spans="6:41">
      <c r="F566" s="31"/>
      <c r="M566" s="31"/>
      <c r="U566" s="31"/>
      <c r="AC566" s="31"/>
      <c r="AN566" s="32"/>
      <c r="AO566" s="57"/>
    </row>
    <row r="567" spans="6:41">
      <c r="F567" s="31"/>
      <c r="M567" s="31"/>
      <c r="U567" s="31"/>
      <c r="AC567" s="31"/>
      <c r="AN567" s="32"/>
      <c r="AO567" s="57"/>
    </row>
    <row r="568" spans="6:41">
      <c r="F568" s="31"/>
      <c r="M568" s="31"/>
      <c r="U568" s="31"/>
      <c r="AC568" s="31"/>
      <c r="AN568" s="32"/>
      <c r="AO568" s="57"/>
    </row>
    <row r="569" spans="6:41">
      <c r="F569" s="31"/>
      <c r="M569" s="31"/>
      <c r="U569" s="31"/>
      <c r="AC569" s="31"/>
      <c r="AN569" s="32"/>
      <c r="AO569" s="57"/>
    </row>
    <row r="570" spans="6:41">
      <c r="F570" s="31"/>
      <c r="M570" s="31"/>
      <c r="U570" s="31"/>
      <c r="AC570" s="31"/>
      <c r="AN570" s="32"/>
      <c r="AO570" s="57"/>
    </row>
    <row r="571" spans="6:41">
      <c r="F571" s="31"/>
      <c r="M571" s="31"/>
      <c r="U571" s="31"/>
      <c r="AC571" s="31"/>
      <c r="AN571" s="32"/>
      <c r="AO571" s="57"/>
    </row>
    <row r="572" spans="6:41">
      <c r="F572" s="31"/>
      <c r="M572" s="31"/>
      <c r="U572" s="31"/>
      <c r="AC572" s="31"/>
      <c r="AN572" s="32"/>
      <c r="AO572" s="57"/>
    </row>
    <row r="573" spans="6:41">
      <c r="F573" s="31"/>
      <c r="M573" s="31"/>
      <c r="U573" s="31"/>
      <c r="AC573" s="31"/>
      <c r="AN573" s="32"/>
      <c r="AO573" s="57"/>
    </row>
    <row r="574" spans="6:41">
      <c r="F574" s="31"/>
      <c r="M574" s="31"/>
      <c r="U574" s="31"/>
      <c r="AC574" s="31"/>
      <c r="AN574" s="32"/>
      <c r="AO574" s="57"/>
    </row>
    <row r="575" spans="6:41">
      <c r="F575" s="31"/>
      <c r="M575" s="31"/>
      <c r="U575" s="31"/>
      <c r="AC575" s="31"/>
      <c r="AN575" s="32"/>
      <c r="AO575" s="57"/>
    </row>
    <row r="576" spans="6:41">
      <c r="F576" s="31"/>
      <c r="M576" s="31"/>
      <c r="U576" s="31"/>
      <c r="AC576" s="31"/>
      <c r="AN576" s="32"/>
      <c r="AO576" s="57"/>
    </row>
    <row r="577" spans="6:41">
      <c r="F577" s="31"/>
      <c r="M577" s="31"/>
      <c r="U577" s="31"/>
      <c r="AC577" s="31"/>
      <c r="AN577" s="32"/>
      <c r="AO577" s="57"/>
    </row>
    <row r="578" spans="6:41">
      <c r="F578" s="31"/>
      <c r="M578" s="31"/>
      <c r="U578" s="31"/>
      <c r="AC578" s="31"/>
      <c r="AN578" s="32"/>
      <c r="AO578" s="57"/>
    </row>
    <row r="579" spans="6:41">
      <c r="F579" s="31"/>
      <c r="M579" s="31"/>
      <c r="U579" s="31"/>
      <c r="AC579" s="31"/>
      <c r="AN579" s="32"/>
      <c r="AO579" s="57"/>
    </row>
    <row r="580" spans="6:41">
      <c r="F580" s="31"/>
      <c r="M580" s="31"/>
      <c r="U580" s="31"/>
      <c r="AC580" s="31"/>
      <c r="AN580" s="32"/>
      <c r="AO580" s="57"/>
    </row>
    <row r="581" spans="6:41">
      <c r="F581" s="31"/>
      <c r="M581" s="31"/>
      <c r="U581" s="31"/>
      <c r="AC581" s="31"/>
      <c r="AN581" s="32"/>
      <c r="AO581" s="57"/>
    </row>
    <row r="582" spans="6:41">
      <c r="F582" s="31"/>
      <c r="M582" s="31"/>
      <c r="U582" s="31"/>
      <c r="AC582" s="31"/>
      <c r="AN582" s="32"/>
      <c r="AO582" s="57"/>
    </row>
    <row r="583" spans="6:41">
      <c r="F583" s="31"/>
      <c r="M583" s="31"/>
      <c r="U583" s="31"/>
      <c r="AC583" s="31"/>
      <c r="AN583" s="32"/>
      <c r="AO583" s="57"/>
    </row>
    <row r="584" spans="6:41">
      <c r="F584" s="31"/>
      <c r="M584" s="31"/>
      <c r="U584" s="31"/>
      <c r="AC584" s="31"/>
      <c r="AN584" s="32"/>
      <c r="AO584" s="57"/>
    </row>
    <row r="585" spans="6:41">
      <c r="F585" s="31"/>
      <c r="M585" s="31"/>
      <c r="U585" s="31"/>
      <c r="AC585" s="31"/>
      <c r="AN585" s="32"/>
      <c r="AO585" s="57"/>
    </row>
    <row r="586" spans="6:41">
      <c r="F586" s="31"/>
      <c r="M586" s="31"/>
      <c r="U586" s="31"/>
      <c r="AC586" s="31"/>
      <c r="AN586" s="32"/>
      <c r="AO586" s="57"/>
    </row>
    <row r="587" spans="6:41">
      <c r="F587" s="31"/>
      <c r="M587" s="31"/>
      <c r="U587" s="31"/>
      <c r="AC587" s="31"/>
      <c r="AN587" s="32"/>
      <c r="AO587" s="57"/>
    </row>
    <row r="588" spans="6:41">
      <c r="F588" s="31"/>
      <c r="M588" s="31"/>
      <c r="U588" s="31"/>
      <c r="AC588" s="31"/>
      <c r="AN588" s="32"/>
      <c r="AO588" s="57"/>
    </row>
    <row r="589" spans="6:41">
      <c r="F589" s="31"/>
      <c r="M589" s="31"/>
      <c r="U589" s="31"/>
      <c r="AC589" s="31"/>
      <c r="AN589" s="32"/>
      <c r="AO589" s="57"/>
    </row>
    <row r="590" spans="6:41">
      <c r="F590" s="31"/>
      <c r="M590" s="31"/>
      <c r="U590" s="31"/>
      <c r="AC590" s="31"/>
      <c r="AN590" s="32"/>
      <c r="AO590" s="57"/>
    </row>
    <row r="591" spans="6:41">
      <c r="F591" s="31"/>
      <c r="M591" s="31"/>
      <c r="U591" s="31"/>
      <c r="AC591" s="31"/>
      <c r="AN591" s="32"/>
      <c r="AO591" s="57"/>
    </row>
    <row r="592" spans="6:41">
      <c r="F592" s="31"/>
      <c r="M592" s="31"/>
      <c r="U592" s="31"/>
      <c r="AC592" s="31"/>
      <c r="AN592" s="32"/>
      <c r="AO592" s="57"/>
    </row>
    <row r="593" spans="6:41">
      <c r="F593" s="31"/>
      <c r="M593" s="31"/>
      <c r="U593" s="31"/>
      <c r="AC593" s="31"/>
      <c r="AN593" s="32"/>
      <c r="AO593" s="57"/>
    </row>
    <row r="594" spans="6:41">
      <c r="F594" s="31"/>
      <c r="M594" s="31"/>
      <c r="U594" s="31"/>
      <c r="AC594" s="31"/>
      <c r="AN594" s="32"/>
      <c r="AO594" s="57"/>
    </row>
    <row r="595" spans="6:41">
      <c r="F595" s="31"/>
      <c r="M595" s="31"/>
      <c r="U595" s="31"/>
      <c r="AC595" s="31"/>
      <c r="AN595" s="32"/>
      <c r="AO595" s="57"/>
    </row>
    <row r="596" spans="6:41">
      <c r="F596" s="31"/>
      <c r="M596" s="31"/>
      <c r="U596" s="31"/>
      <c r="AC596" s="31"/>
      <c r="AN596" s="32"/>
      <c r="AO596" s="57"/>
    </row>
    <row r="597" spans="6:41">
      <c r="F597" s="31"/>
      <c r="M597" s="31"/>
      <c r="U597" s="31"/>
      <c r="AC597" s="31"/>
      <c r="AN597" s="32"/>
      <c r="AO597" s="57"/>
    </row>
    <row r="598" spans="6:41">
      <c r="F598" s="31"/>
      <c r="M598" s="31"/>
      <c r="U598" s="31"/>
      <c r="AC598" s="31"/>
      <c r="AN598" s="32"/>
      <c r="AO598" s="57"/>
    </row>
    <row r="599" spans="6:41">
      <c r="F599" s="31"/>
      <c r="M599" s="31"/>
      <c r="U599" s="31"/>
      <c r="AC599" s="31"/>
      <c r="AN599" s="32"/>
      <c r="AO599" s="57"/>
    </row>
    <row r="600" spans="6:41">
      <c r="F600" s="31"/>
      <c r="M600" s="31"/>
      <c r="U600" s="31"/>
      <c r="AC600" s="31"/>
      <c r="AN600" s="32"/>
      <c r="AO600" s="57"/>
    </row>
    <row r="601" spans="6:41">
      <c r="F601" s="31"/>
      <c r="M601" s="31"/>
      <c r="U601" s="31"/>
      <c r="AC601" s="31"/>
      <c r="AN601" s="32"/>
      <c r="AO601" s="57"/>
    </row>
    <row r="602" spans="6:41">
      <c r="F602" s="31"/>
      <c r="M602" s="31"/>
      <c r="U602" s="31"/>
      <c r="AC602" s="31"/>
      <c r="AN602" s="32"/>
      <c r="AO602" s="57"/>
    </row>
    <row r="603" spans="6:41">
      <c r="F603" s="31"/>
      <c r="M603" s="31"/>
      <c r="U603" s="31"/>
      <c r="AC603" s="31"/>
      <c r="AN603" s="32"/>
      <c r="AO603" s="57"/>
    </row>
    <row r="604" spans="6:41">
      <c r="F604" s="31"/>
      <c r="M604" s="31"/>
      <c r="U604" s="31"/>
      <c r="AC604" s="31"/>
      <c r="AN604" s="32"/>
      <c r="AO604" s="57"/>
    </row>
    <row r="605" spans="6:41">
      <c r="F605" s="31"/>
      <c r="M605" s="31"/>
      <c r="U605" s="31"/>
      <c r="AC605" s="31"/>
      <c r="AN605" s="32"/>
      <c r="AO605" s="57"/>
    </row>
    <row r="606" spans="6:41">
      <c r="F606" s="31"/>
      <c r="M606" s="31"/>
      <c r="U606" s="31"/>
      <c r="AC606" s="31"/>
      <c r="AN606" s="32"/>
      <c r="AO606" s="57"/>
    </row>
    <row r="607" spans="6:41">
      <c r="F607" s="31"/>
      <c r="M607" s="31"/>
      <c r="U607" s="31"/>
      <c r="AC607" s="31"/>
      <c r="AN607" s="32"/>
      <c r="AO607" s="57"/>
    </row>
    <row r="608" spans="6:41">
      <c r="F608" s="31"/>
      <c r="M608" s="31"/>
      <c r="U608" s="31"/>
      <c r="AC608" s="31"/>
      <c r="AN608" s="32"/>
      <c r="AO608" s="57"/>
    </row>
    <row r="609" spans="6:41">
      <c r="F609" s="31"/>
      <c r="M609" s="31"/>
      <c r="U609" s="31"/>
      <c r="AC609" s="31"/>
      <c r="AN609" s="32"/>
      <c r="AO609" s="57"/>
    </row>
    <row r="610" spans="6:41">
      <c r="F610" s="31"/>
      <c r="M610" s="31"/>
      <c r="U610" s="31"/>
      <c r="AC610" s="31"/>
      <c r="AN610" s="32"/>
      <c r="AO610" s="57"/>
    </row>
    <row r="611" spans="6:41">
      <c r="F611" s="31"/>
      <c r="M611" s="31"/>
      <c r="U611" s="31"/>
      <c r="AC611" s="31"/>
      <c r="AN611" s="32"/>
      <c r="AO611" s="57"/>
    </row>
    <row r="612" spans="6:41">
      <c r="F612" s="31"/>
      <c r="M612" s="31"/>
      <c r="U612" s="31"/>
      <c r="AC612" s="31"/>
      <c r="AN612" s="32"/>
      <c r="AO612" s="57"/>
    </row>
    <row r="613" spans="6:41">
      <c r="F613" s="31"/>
      <c r="M613" s="31"/>
      <c r="U613" s="31"/>
      <c r="AC613" s="31"/>
      <c r="AN613" s="32"/>
      <c r="AO613" s="57"/>
    </row>
    <row r="614" spans="6:41">
      <c r="F614" s="31"/>
      <c r="M614" s="31"/>
      <c r="U614" s="31"/>
      <c r="AC614" s="31"/>
      <c r="AN614" s="32"/>
      <c r="AO614" s="57"/>
    </row>
    <row r="615" spans="6:41">
      <c r="F615" s="31"/>
      <c r="M615" s="31"/>
      <c r="U615" s="31"/>
      <c r="AC615" s="31"/>
      <c r="AN615" s="32"/>
      <c r="AO615" s="57"/>
    </row>
    <row r="616" spans="6:41">
      <c r="F616" s="31"/>
      <c r="M616" s="31"/>
      <c r="U616" s="31"/>
      <c r="AC616" s="31"/>
      <c r="AN616" s="32"/>
      <c r="AO616" s="57"/>
    </row>
    <row r="617" spans="6:41">
      <c r="F617" s="31"/>
      <c r="M617" s="31"/>
      <c r="U617" s="31"/>
      <c r="AC617" s="31"/>
      <c r="AN617" s="32"/>
      <c r="AO617" s="57"/>
    </row>
    <row r="618" spans="6:41">
      <c r="F618" s="31"/>
      <c r="M618" s="31"/>
      <c r="U618" s="31"/>
      <c r="AC618" s="31"/>
      <c r="AN618" s="32"/>
      <c r="AO618" s="57"/>
    </row>
    <row r="619" spans="6:41">
      <c r="F619" s="31"/>
      <c r="M619" s="31"/>
      <c r="U619" s="31"/>
      <c r="AC619" s="31"/>
      <c r="AN619" s="32"/>
      <c r="AO619" s="57"/>
    </row>
    <row r="620" spans="6:41">
      <c r="F620" s="31"/>
      <c r="M620" s="31"/>
      <c r="U620" s="31"/>
      <c r="AC620" s="31"/>
      <c r="AN620" s="32"/>
      <c r="AO620" s="57"/>
    </row>
    <row r="621" spans="6:41">
      <c r="F621" s="31"/>
      <c r="M621" s="31"/>
      <c r="U621" s="31"/>
      <c r="AC621" s="31"/>
      <c r="AN621" s="32"/>
      <c r="AO621" s="57"/>
    </row>
    <row r="622" spans="6:41">
      <c r="F622" s="31"/>
      <c r="M622" s="31"/>
      <c r="U622" s="31"/>
      <c r="AC622" s="31"/>
      <c r="AN622" s="32"/>
      <c r="AO622" s="57"/>
    </row>
    <row r="623" spans="6:41">
      <c r="F623" s="31"/>
      <c r="M623" s="31"/>
      <c r="U623" s="31"/>
      <c r="AC623" s="31"/>
      <c r="AN623" s="32"/>
      <c r="AO623" s="57"/>
    </row>
    <row r="624" spans="6:41">
      <c r="F624" s="31"/>
      <c r="M624" s="31"/>
      <c r="U624" s="31"/>
      <c r="AC624" s="31"/>
      <c r="AN624" s="32"/>
      <c r="AO624" s="57"/>
    </row>
    <row r="625" spans="6:41">
      <c r="F625" s="31"/>
      <c r="M625" s="31"/>
      <c r="U625" s="31"/>
      <c r="AC625" s="31"/>
      <c r="AN625" s="32"/>
      <c r="AO625" s="57"/>
    </row>
    <row r="626" spans="6:41">
      <c r="F626" s="31"/>
      <c r="M626" s="31"/>
      <c r="U626" s="31"/>
      <c r="AC626" s="31"/>
      <c r="AN626" s="32"/>
      <c r="AO626" s="57"/>
    </row>
    <row r="627" spans="6:41">
      <c r="F627" s="31"/>
      <c r="M627" s="31"/>
      <c r="U627" s="31"/>
      <c r="AC627" s="31"/>
      <c r="AN627" s="32"/>
      <c r="AO627" s="57"/>
    </row>
    <row r="628" spans="6:41">
      <c r="F628" s="31"/>
      <c r="M628" s="31"/>
      <c r="U628" s="31"/>
      <c r="AC628" s="31"/>
      <c r="AN628" s="32"/>
      <c r="AO628" s="57"/>
    </row>
    <row r="629" spans="6:41">
      <c r="F629" s="31"/>
      <c r="M629" s="31"/>
      <c r="U629" s="31"/>
      <c r="AC629" s="31"/>
      <c r="AN629" s="32"/>
      <c r="AO629" s="57"/>
    </row>
    <row r="630" spans="6:41">
      <c r="F630" s="31"/>
      <c r="M630" s="31"/>
      <c r="U630" s="31"/>
      <c r="AC630" s="31"/>
      <c r="AN630" s="32"/>
      <c r="AO630" s="57"/>
    </row>
    <row r="631" spans="6:41">
      <c r="F631" s="31"/>
      <c r="M631" s="31"/>
      <c r="U631" s="31"/>
      <c r="AC631" s="31"/>
      <c r="AN631" s="32"/>
      <c r="AO631" s="57"/>
    </row>
    <row r="632" spans="6:41">
      <c r="F632" s="31"/>
      <c r="M632" s="31"/>
      <c r="U632" s="31"/>
      <c r="AC632" s="31"/>
      <c r="AN632" s="32"/>
      <c r="AO632" s="57"/>
    </row>
    <row r="633" spans="6:41">
      <c r="F633" s="31"/>
      <c r="M633" s="31"/>
      <c r="U633" s="31"/>
      <c r="AC633" s="31"/>
      <c r="AN633" s="32"/>
      <c r="AO633" s="57"/>
    </row>
    <row r="634" spans="6:41">
      <c r="F634" s="31"/>
      <c r="M634" s="31"/>
      <c r="U634" s="31"/>
      <c r="AC634" s="31"/>
      <c r="AN634" s="32"/>
      <c r="AO634" s="57"/>
    </row>
    <row r="635" spans="6:41">
      <c r="F635" s="31"/>
      <c r="M635" s="31"/>
      <c r="U635" s="31"/>
      <c r="AC635" s="31"/>
      <c r="AN635" s="32"/>
      <c r="AO635" s="57"/>
    </row>
    <row r="636" spans="6:41">
      <c r="F636" s="31"/>
      <c r="M636" s="31"/>
      <c r="U636" s="31"/>
      <c r="AC636" s="31"/>
      <c r="AN636" s="32"/>
      <c r="AO636" s="57"/>
    </row>
    <row r="637" spans="6:41">
      <c r="F637" s="31"/>
      <c r="M637" s="31"/>
      <c r="U637" s="31"/>
      <c r="AC637" s="31"/>
      <c r="AN637" s="32"/>
      <c r="AO637" s="57"/>
    </row>
    <row r="638" spans="6:41">
      <c r="F638" s="31"/>
      <c r="M638" s="31"/>
      <c r="U638" s="31"/>
      <c r="AC638" s="31"/>
      <c r="AN638" s="32"/>
      <c r="AO638" s="57"/>
    </row>
    <row r="639" spans="6:41">
      <c r="F639" s="31"/>
      <c r="M639" s="31"/>
      <c r="U639" s="31"/>
      <c r="AC639" s="31"/>
      <c r="AN639" s="32"/>
      <c r="AO639" s="57"/>
    </row>
    <row r="640" spans="6:41">
      <c r="F640" s="31"/>
      <c r="M640" s="31"/>
      <c r="U640" s="31"/>
      <c r="AC640" s="31"/>
      <c r="AN640" s="32"/>
      <c r="AO640" s="57"/>
    </row>
    <row r="641" spans="6:41">
      <c r="F641" s="31"/>
      <c r="M641" s="31"/>
      <c r="U641" s="31"/>
      <c r="AC641" s="31"/>
      <c r="AN641" s="32"/>
      <c r="AO641" s="57"/>
    </row>
    <row r="642" spans="6:41">
      <c r="F642" s="31"/>
      <c r="M642" s="31"/>
      <c r="U642" s="31"/>
      <c r="AC642" s="31"/>
      <c r="AN642" s="32"/>
      <c r="AO642" s="57"/>
    </row>
    <row r="643" spans="6:41">
      <c r="F643" s="31"/>
      <c r="M643" s="31"/>
      <c r="U643" s="31"/>
      <c r="AC643" s="31"/>
      <c r="AN643" s="32"/>
      <c r="AO643" s="57"/>
    </row>
    <row r="644" spans="6:41">
      <c r="F644" s="31"/>
      <c r="M644" s="31"/>
      <c r="U644" s="31"/>
      <c r="AC644" s="31"/>
      <c r="AN644" s="32"/>
      <c r="AO644" s="57"/>
    </row>
    <row r="645" spans="6:41">
      <c r="F645" s="31"/>
      <c r="M645" s="31"/>
      <c r="U645" s="31"/>
      <c r="AC645" s="31"/>
      <c r="AN645" s="32"/>
      <c r="AO645" s="57"/>
    </row>
    <row r="646" spans="6:41">
      <c r="F646" s="31"/>
      <c r="M646" s="31"/>
      <c r="U646" s="31"/>
      <c r="AC646" s="31"/>
      <c r="AN646" s="32"/>
      <c r="AO646" s="57"/>
    </row>
    <row r="647" spans="6:41">
      <c r="F647" s="31"/>
      <c r="M647" s="31"/>
      <c r="U647" s="31"/>
      <c r="AC647" s="31"/>
      <c r="AN647" s="32"/>
      <c r="AO647" s="57"/>
    </row>
    <row r="648" spans="6:41">
      <c r="F648" s="31"/>
      <c r="M648" s="31"/>
      <c r="U648" s="31"/>
      <c r="AC648" s="31"/>
      <c r="AN648" s="32"/>
      <c r="AO648" s="57"/>
    </row>
    <row r="649" spans="6:41">
      <c r="F649" s="31"/>
      <c r="M649" s="31"/>
      <c r="U649" s="31"/>
      <c r="AC649" s="31"/>
      <c r="AN649" s="32"/>
      <c r="AO649" s="57"/>
    </row>
    <row r="650" spans="6:41">
      <c r="F650" s="31"/>
      <c r="M650" s="31"/>
      <c r="U650" s="31"/>
      <c r="AC650" s="31"/>
      <c r="AN650" s="32"/>
      <c r="AO650" s="57"/>
    </row>
    <row r="651" spans="6:41">
      <c r="F651" s="31"/>
      <c r="M651" s="31"/>
      <c r="U651" s="31"/>
      <c r="AC651" s="31"/>
      <c r="AN651" s="32"/>
      <c r="AO651" s="57"/>
    </row>
    <row r="652" spans="6:41">
      <c r="F652" s="31"/>
      <c r="M652" s="31"/>
      <c r="U652" s="31"/>
      <c r="AC652" s="31"/>
      <c r="AN652" s="32"/>
      <c r="AO652" s="57"/>
    </row>
    <row r="653" spans="6:41">
      <c r="F653" s="31"/>
      <c r="M653" s="31"/>
      <c r="U653" s="31"/>
      <c r="AC653" s="31"/>
      <c r="AN653" s="32"/>
      <c r="AO653" s="57"/>
    </row>
    <row r="654" spans="6:41">
      <c r="F654" s="31"/>
      <c r="M654" s="31"/>
      <c r="U654" s="31"/>
      <c r="AC654" s="31"/>
      <c r="AN654" s="32"/>
      <c r="AO654" s="57"/>
    </row>
    <row r="655" spans="6:41">
      <c r="F655" s="31"/>
      <c r="M655" s="31"/>
      <c r="U655" s="31"/>
      <c r="AC655" s="31"/>
      <c r="AN655" s="32"/>
      <c r="AO655" s="57"/>
    </row>
    <row r="656" spans="6:41">
      <c r="F656" s="31"/>
      <c r="M656" s="31"/>
      <c r="U656" s="31"/>
      <c r="AC656" s="31"/>
      <c r="AN656" s="32"/>
      <c r="AO656" s="57"/>
    </row>
    <row r="657" spans="6:41">
      <c r="F657" s="31"/>
      <c r="M657" s="31"/>
      <c r="U657" s="31"/>
      <c r="AC657" s="31"/>
      <c r="AN657" s="32"/>
      <c r="AO657" s="57"/>
    </row>
    <row r="658" spans="6:41">
      <c r="F658" s="31"/>
      <c r="M658" s="31"/>
      <c r="U658" s="31"/>
      <c r="AC658" s="31"/>
      <c r="AN658" s="32"/>
      <c r="AO658" s="57"/>
    </row>
    <row r="659" spans="6:41">
      <c r="F659" s="31"/>
      <c r="M659" s="31"/>
      <c r="U659" s="31"/>
      <c r="AC659" s="31"/>
      <c r="AN659" s="32"/>
      <c r="AO659" s="57"/>
    </row>
    <row r="660" spans="6:41">
      <c r="F660" s="31"/>
      <c r="M660" s="31"/>
      <c r="U660" s="31"/>
      <c r="AC660" s="31"/>
      <c r="AN660" s="32"/>
      <c r="AO660" s="57"/>
    </row>
    <row r="661" spans="6:41">
      <c r="F661" s="31"/>
      <c r="M661" s="31"/>
      <c r="U661" s="31"/>
      <c r="AC661" s="31"/>
      <c r="AN661" s="32"/>
      <c r="AO661" s="57"/>
    </row>
    <row r="662" spans="6:41">
      <c r="F662" s="31"/>
      <c r="M662" s="31"/>
      <c r="U662" s="31"/>
      <c r="AC662" s="31"/>
      <c r="AN662" s="32"/>
      <c r="AO662" s="57"/>
    </row>
    <row r="663" spans="6:41">
      <c r="F663" s="31"/>
      <c r="M663" s="31"/>
      <c r="U663" s="31"/>
      <c r="AC663" s="31"/>
      <c r="AN663" s="32"/>
      <c r="AO663" s="57"/>
    </row>
    <row r="664" spans="6:41">
      <c r="F664" s="31"/>
      <c r="M664" s="31"/>
      <c r="U664" s="31"/>
      <c r="AC664" s="31"/>
      <c r="AN664" s="32"/>
      <c r="AO664" s="57"/>
    </row>
    <row r="665" spans="6:41">
      <c r="F665" s="31"/>
      <c r="M665" s="31"/>
      <c r="U665" s="31"/>
      <c r="AC665" s="31"/>
      <c r="AN665" s="32"/>
      <c r="AO665" s="57"/>
    </row>
    <row r="666" spans="6:41">
      <c r="F666" s="31"/>
      <c r="M666" s="31"/>
      <c r="U666" s="31"/>
      <c r="AC666" s="31"/>
      <c r="AN666" s="32"/>
      <c r="AO666" s="57"/>
    </row>
    <row r="667" spans="6:41">
      <c r="F667" s="31"/>
      <c r="M667" s="31"/>
      <c r="U667" s="31"/>
      <c r="AC667" s="31"/>
      <c r="AN667" s="32"/>
      <c r="AO667" s="57"/>
    </row>
    <row r="668" spans="6:41">
      <c r="F668" s="31"/>
      <c r="M668" s="31"/>
      <c r="U668" s="31"/>
      <c r="AC668" s="31"/>
      <c r="AN668" s="32"/>
      <c r="AO668" s="57"/>
    </row>
    <row r="669" spans="6:41">
      <c r="F669" s="31"/>
      <c r="M669" s="31"/>
      <c r="U669" s="31"/>
      <c r="AC669" s="31"/>
      <c r="AN669" s="32"/>
      <c r="AO669" s="57"/>
    </row>
    <row r="670" spans="6:41">
      <c r="F670" s="31"/>
      <c r="M670" s="31"/>
      <c r="U670" s="31"/>
      <c r="AC670" s="31"/>
      <c r="AN670" s="32"/>
      <c r="AO670" s="57"/>
    </row>
    <row r="671" spans="6:41">
      <c r="F671" s="31"/>
      <c r="M671" s="31"/>
      <c r="U671" s="31"/>
      <c r="AC671" s="31"/>
      <c r="AN671" s="32"/>
      <c r="AO671" s="57"/>
    </row>
    <row r="672" spans="6:41">
      <c r="F672" s="31"/>
      <c r="M672" s="31"/>
      <c r="U672" s="31"/>
      <c r="AC672" s="31"/>
      <c r="AN672" s="32"/>
      <c r="AO672" s="57"/>
    </row>
    <row r="673" spans="6:41">
      <c r="F673" s="31"/>
      <c r="M673" s="31"/>
      <c r="U673" s="31"/>
      <c r="AC673" s="31"/>
      <c r="AN673" s="32"/>
      <c r="AO673" s="57"/>
    </row>
    <row r="674" spans="6:41">
      <c r="F674" s="31"/>
      <c r="M674" s="31"/>
      <c r="U674" s="31"/>
      <c r="AC674" s="31"/>
      <c r="AN674" s="32"/>
      <c r="AO674" s="57"/>
    </row>
    <row r="675" spans="6:41">
      <c r="F675" s="31"/>
      <c r="M675" s="31"/>
      <c r="U675" s="31"/>
      <c r="AC675" s="31"/>
      <c r="AN675" s="32"/>
      <c r="AO675" s="57"/>
    </row>
    <row r="676" spans="6:41">
      <c r="F676" s="31"/>
      <c r="M676" s="31"/>
      <c r="U676" s="31"/>
      <c r="AC676" s="31"/>
      <c r="AN676" s="32"/>
      <c r="AO676" s="57"/>
    </row>
    <row r="677" spans="6:41">
      <c r="F677" s="31"/>
      <c r="M677" s="31"/>
      <c r="U677" s="31"/>
      <c r="AC677" s="31"/>
      <c r="AN677" s="32"/>
      <c r="AO677" s="57"/>
    </row>
    <row r="678" spans="6:41">
      <c r="F678" s="31"/>
      <c r="M678" s="31"/>
      <c r="U678" s="31"/>
      <c r="AC678" s="31"/>
      <c r="AN678" s="32"/>
      <c r="AO678" s="57"/>
    </row>
    <row r="679" spans="6:41">
      <c r="F679" s="31"/>
      <c r="M679" s="31"/>
      <c r="U679" s="31"/>
      <c r="AC679" s="31"/>
      <c r="AN679" s="32"/>
      <c r="AO679" s="57"/>
    </row>
    <row r="680" spans="6:41">
      <c r="F680" s="31"/>
      <c r="M680" s="31"/>
      <c r="U680" s="31"/>
      <c r="AC680" s="31"/>
      <c r="AN680" s="32"/>
      <c r="AO680" s="57"/>
    </row>
    <row r="681" spans="6:41">
      <c r="F681" s="31"/>
      <c r="M681" s="31"/>
      <c r="U681" s="31"/>
      <c r="AC681" s="31"/>
      <c r="AN681" s="32"/>
      <c r="AO681" s="57"/>
    </row>
    <row r="682" spans="6:41">
      <c r="F682" s="31"/>
      <c r="M682" s="31"/>
      <c r="U682" s="31"/>
      <c r="AC682" s="31"/>
      <c r="AN682" s="32"/>
      <c r="AO682" s="57"/>
    </row>
    <row r="683" spans="6:41">
      <c r="F683" s="31"/>
      <c r="M683" s="31"/>
      <c r="U683" s="31"/>
      <c r="AC683" s="31"/>
      <c r="AN683" s="32"/>
      <c r="AO683" s="57"/>
    </row>
    <row r="684" spans="6:41">
      <c r="F684" s="31"/>
      <c r="M684" s="31"/>
      <c r="U684" s="31"/>
      <c r="AC684" s="31"/>
      <c r="AN684" s="32"/>
      <c r="AO684" s="57"/>
    </row>
    <row r="685" spans="6:41">
      <c r="F685" s="31"/>
      <c r="M685" s="31"/>
      <c r="U685" s="31"/>
      <c r="AC685" s="31"/>
      <c r="AN685" s="32"/>
      <c r="AO685" s="57"/>
    </row>
    <row r="686" spans="6:41">
      <c r="F686" s="31"/>
      <c r="M686" s="31"/>
      <c r="U686" s="31"/>
      <c r="AC686" s="31"/>
      <c r="AN686" s="32"/>
      <c r="AO686" s="57"/>
    </row>
    <row r="687" spans="6:41">
      <c r="F687" s="31"/>
      <c r="M687" s="31"/>
      <c r="U687" s="31"/>
      <c r="AC687" s="31"/>
      <c r="AN687" s="32"/>
      <c r="AO687" s="57"/>
    </row>
    <row r="688" spans="6:41">
      <c r="F688" s="31"/>
      <c r="M688" s="31"/>
      <c r="U688" s="31"/>
      <c r="AC688" s="31"/>
      <c r="AN688" s="32"/>
      <c r="AO688" s="57"/>
    </row>
    <row r="689" spans="6:41">
      <c r="F689" s="31"/>
      <c r="M689" s="31"/>
      <c r="U689" s="31"/>
      <c r="AC689" s="31"/>
      <c r="AN689" s="32"/>
      <c r="AO689" s="57"/>
    </row>
    <row r="690" spans="6:41">
      <c r="F690" s="31"/>
      <c r="M690" s="31"/>
      <c r="U690" s="31"/>
      <c r="AC690" s="31"/>
      <c r="AN690" s="32"/>
      <c r="AO690" s="57"/>
    </row>
    <row r="691" spans="6:41">
      <c r="F691" s="31"/>
      <c r="M691" s="31"/>
      <c r="U691" s="31"/>
      <c r="AC691" s="31"/>
      <c r="AN691" s="32"/>
      <c r="AO691" s="57"/>
    </row>
    <row r="692" spans="6:41">
      <c r="F692" s="31"/>
      <c r="M692" s="31"/>
      <c r="U692" s="31"/>
      <c r="AC692" s="31"/>
      <c r="AN692" s="32"/>
      <c r="AO692" s="57"/>
    </row>
    <row r="693" spans="6:41">
      <c r="F693" s="31"/>
      <c r="M693" s="31"/>
      <c r="U693" s="31"/>
      <c r="AC693" s="31"/>
      <c r="AN693" s="32"/>
      <c r="AO693" s="57"/>
    </row>
    <row r="694" spans="6:41">
      <c r="F694" s="31"/>
      <c r="M694" s="31"/>
      <c r="U694" s="31"/>
      <c r="AC694" s="31"/>
      <c r="AN694" s="32"/>
      <c r="AO694" s="57"/>
    </row>
    <row r="695" spans="6:41">
      <c r="F695" s="31"/>
      <c r="M695" s="31"/>
      <c r="U695" s="31"/>
      <c r="AC695" s="31"/>
      <c r="AN695" s="32"/>
      <c r="AO695" s="57"/>
    </row>
    <row r="696" spans="6:41">
      <c r="F696" s="31"/>
      <c r="M696" s="31"/>
      <c r="U696" s="31"/>
      <c r="AC696" s="31"/>
      <c r="AN696" s="32"/>
      <c r="AO696" s="57"/>
    </row>
    <row r="697" spans="6:41">
      <c r="F697" s="31"/>
      <c r="M697" s="31"/>
      <c r="U697" s="31"/>
      <c r="AC697" s="31"/>
      <c r="AN697" s="32"/>
      <c r="AO697" s="57"/>
    </row>
    <row r="698" spans="6:41">
      <c r="F698" s="31"/>
      <c r="M698" s="31"/>
      <c r="U698" s="31"/>
      <c r="AC698" s="31"/>
      <c r="AN698" s="32"/>
      <c r="AO698" s="57"/>
    </row>
    <row r="699" spans="6:41">
      <c r="F699" s="31"/>
      <c r="M699" s="31"/>
      <c r="U699" s="31"/>
      <c r="AC699" s="31"/>
      <c r="AN699" s="32"/>
      <c r="AO699" s="57"/>
    </row>
    <row r="700" spans="6:41">
      <c r="F700" s="31"/>
      <c r="M700" s="31"/>
      <c r="U700" s="31"/>
      <c r="AC700" s="31"/>
      <c r="AN700" s="32"/>
      <c r="AO700" s="57"/>
    </row>
    <row r="701" spans="6:41">
      <c r="F701" s="31"/>
      <c r="M701" s="31"/>
      <c r="U701" s="31"/>
      <c r="AC701" s="31"/>
      <c r="AN701" s="32"/>
      <c r="AO701" s="57"/>
    </row>
    <row r="702" spans="6:41">
      <c r="F702" s="31"/>
      <c r="M702" s="31"/>
      <c r="U702" s="31"/>
      <c r="AC702" s="31"/>
      <c r="AN702" s="32"/>
      <c r="AO702" s="57"/>
    </row>
    <row r="703" spans="6:41">
      <c r="F703" s="31"/>
      <c r="M703" s="31"/>
      <c r="U703" s="31"/>
      <c r="AC703" s="31"/>
      <c r="AN703" s="32"/>
      <c r="AO703" s="57"/>
    </row>
    <row r="704" spans="6:41">
      <c r="F704" s="31"/>
      <c r="M704" s="31"/>
      <c r="U704" s="31"/>
      <c r="AC704" s="31"/>
      <c r="AN704" s="32"/>
      <c r="AO704" s="57"/>
    </row>
    <row r="705" spans="6:41">
      <c r="F705" s="31"/>
      <c r="M705" s="31"/>
      <c r="U705" s="31"/>
      <c r="AC705" s="31"/>
      <c r="AN705" s="32"/>
      <c r="AO705" s="57"/>
    </row>
    <row r="706" spans="6:41">
      <c r="F706" s="31"/>
      <c r="M706" s="31"/>
      <c r="U706" s="31"/>
      <c r="AC706" s="31"/>
      <c r="AN706" s="32"/>
      <c r="AO706" s="57"/>
    </row>
    <row r="707" spans="6:41">
      <c r="F707" s="31"/>
      <c r="M707" s="31"/>
      <c r="U707" s="31"/>
      <c r="AC707" s="31"/>
      <c r="AN707" s="32"/>
      <c r="AO707" s="57"/>
    </row>
    <row r="708" spans="6:41">
      <c r="F708" s="31"/>
      <c r="M708" s="31"/>
      <c r="U708" s="31"/>
      <c r="AC708" s="31"/>
      <c r="AN708" s="32"/>
      <c r="AO708" s="57"/>
    </row>
    <row r="709" spans="6:41">
      <c r="F709" s="31"/>
      <c r="M709" s="31"/>
      <c r="U709" s="31"/>
      <c r="AC709" s="31"/>
      <c r="AN709" s="32"/>
      <c r="AO709" s="57"/>
    </row>
    <row r="710" spans="6:41">
      <c r="F710" s="31"/>
      <c r="M710" s="31"/>
      <c r="U710" s="31"/>
      <c r="AC710" s="31"/>
      <c r="AN710" s="32"/>
      <c r="AO710" s="57"/>
    </row>
    <row r="711" spans="6:41">
      <c r="F711" s="31"/>
      <c r="M711" s="31"/>
      <c r="U711" s="31"/>
      <c r="AC711" s="31"/>
      <c r="AN711" s="32"/>
      <c r="AO711" s="57"/>
    </row>
    <row r="712" spans="6:41">
      <c r="F712" s="31"/>
      <c r="M712" s="31"/>
      <c r="U712" s="31"/>
      <c r="AC712" s="31"/>
      <c r="AN712" s="32"/>
      <c r="AO712" s="57"/>
    </row>
    <row r="713" spans="6:41">
      <c r="F713" s="31"/>
      <c r="M713" s="31"/>
      <c r="U713" s="31"/>
      <c r="AC713" s="31"/>
      <c r="AN713" s="32"/>
      <c r="AO713" s="57"/>
    </row>
    <row r="714" spans="6:41">
      <c r="F714" s="31"/>
      <c r="M714" s="31"/>
      <c r="U714" s="31"/>
      <c r="AC714" s="31"/>
      <c r="AN714" s="32"/>
      <c r="AO714" s="57"/>
    </row>
    <row r="715" spans="6:41">
      <c r="F715" s="31"/>
      <c r="M715" s="31"/>
      <c r="U715" s="31"/>
      <c r="AC715" s="31"/>
      <c r="AN715" s="32"/>
      <c r="AO715" s="57"/>
    </row>
    <row r="716" spans="6:41">
      <c r="F716" s="31"/>
      <c r="M716" s="31"/>
      <c r="U716" s="31"/>
      <c r="AC716" s="31"/>
      <c r="AN716" s="32"/>
      <c r="AO716" s="57"/>
    </row>
    <row r="717" spans="6:41">
      <c r="F717" s="31"/>
      <c r="M717" s="31"/>
      <c r="U717" s="31"/>
      <c r="AC717" s="31"/>
      <c r="AN717" s="32"/>
      <c r="AO717" s="57"/>
    </row>
    <row r="718" spans="6:41">
      <c r="F718" s="31"/>
      <c r="M718" s="31"/>
      <c r="U718" s="31"/>
      <c r="AC718" s="31"/>
      <c r="AN718" s="32"/>
      <c r="AO718" s="57"/>
    </row>
    <row r="719" spans="6:41">
      <c r="F719" s="31"/>
      <c r="M719" s="31"/>
      <c r="U719" s="31"/>
      <c r="AC719" s="31"/>
      <c r="AN719" s="32"/>
      <c r="AO719" s="57"/>
    </row>
    <row r="720" spans="6:41">
      <c r="F720" s="31"/>
      <c r="M720" s="31"/>
      <c r="U720" s="31"/>
      <c r="AC720" s="31"/>
      <c r="AN720" s="32"/>
      <c r="AO720" s="57"/>
    </row>
    <row r="721" spans="6:41">
      <c r="F721" s="31"/>
      <c r="M721" s="31"/>
      <c r="U721" s="31"/>
      <c r="AC721" s="31"/>
      <c r="AN721" s="32"/>
      <c r="AO721" s="57"/>
    </row>
    <row r="722" spans="6:41">
      <c r="F722" s="31"/>
      <c r="M722" s="31"/>
      <c r="U722" s="31"/>
      <c r="AC722" s="31"/>
      <c r="AN722" s="32"/>
      <c r="AO722" s="57"/>
    </row>
    <row r="723" spans="6:41">
      <c r="F723" s="31"/>
      <c r="M723" s="31"/>
      <c r="U723" s="31"/>
      <c r="AC723" s="31"/>
      <c r="AN723" s="32"/>
      <c r="AO723" s="57"/>
    </row>
    <row r="724" spans="6:41">
      <c r="F724" s="31"/>
      <c r="M724" s="31"/>
      <c r="U724" s="31"/>
      <c r="AC724" s="31"/>
      <c r="AN724" s="32"/>
      <c r="AO724" s="57"/>
    </row>
    <row r="725" spans="6:41">
      <c r="F725" s="31"/>
      <c r="M725" s="31"/>
      <c r="U725" s="31"/>
      <c r="AC725" s="31"/>
      <c r="AN725" s="32"/>
      <c r="AO725" s="57"/>
    </row>
    <row r="726" spans="6:41">
      <c r="F726" s="31"/>
      <c r="M726" s="31"/>
      <c r="U726" s="31"/>
      <c r="AC726" s="31"/>
      <c r="AN726" s="32"/>
      <c r="AO726" s="57"/>
    </row>
    <row r="727" spans="6:41">
      <c r="F727" s="31"/>
      <c r="M727" s="31"/>
      <c r="U727" s="31"/>
      <c r="AC727" s="31"/>
      <c r="AN727" s="32"/>
      <c r="AO727" s="57"/>
    </row>
    <row r="728" spans="6:41">
      <c r="F728" s="31"/>
      <c r="M728" s="31"/>
      <c r="U728" s="31"/>
      <c r="AC728" s="31"/>
      <c r="AN728" s="32"/>
      <c r="AO728" s="57"/>
    </row>
    <row r="729" spans="6:41">
      <c r="F729" s="31"/>
      <c r="M729" s="31"/>
      <c r="U729" s="31"/>
      <c r="AC729" s="31"/>
      <c r="AN729" s="32"/>
      <c r="AO729" s="57"/>
    </row>
    <row r="730" spans="6:41">
      <c r="F730" s="31"/>
      <c r="M730" s="31"/>
      <c r="U730" s="31"/>
      <c r="AC730" s="31"/>
      <c r="AN730" s="32"/>
      <c r="AO730" s="57"/>
    </row>
    <row r="731" spans="6:41">
      <c r="F731" s="31"/>
      <c r="M731" s="31"/>
      <c r="U731" s="31"/>
      <c r="AC731" s="31"/>
      <c r="AN731" s="32"/>
      <c r="AO731" s="57"/>
    </row>
    <row r="732" spans="6:41">
      <c r="F732" s="31"/>
      <c r="M732" s="31"/>
      <c r="U732" s="31"/>
      <c r="AC732" s="31"/>
      <c r="AN732" s="32"/>
      <c r="AO732" s="57"/>
    </row>
    <row r="733" spans="6:41">
      <c r="F733" s="31"/>
      <c r="M733" s="31"/>
      <c r="U733" s="31"/>
      <c r="AC733" s="31"/>
      <c r="AN733" s="32"/>
      <c r="AO733" s="57"/>
    </row>
    <row r="734" spans="6:41">
      <c r="F734" s="31"/>
      <c r="M734" s="31"/>
      <c r="U734" s="31"/>
      <c r="AC734" s="31"/>
      <c r="AN734" s="32"/>
      <c r="AO734" s="57"/>
    </row>
    <row r="735" spans="6:41">
      <c r="F735" s="31"/>
      <c r="M735" s="31"/>
      <c r="U735" s="31"/>
      <c r="AC735" s="31"/>
      <c r="AN735" s="32"/>
      <c r="AO735" s="57"/>
    </row>
    <row r="736" spans="6:41">
      <c r="F736" s="31"/>
      <c r="M736" s="31"/>
      <c r="U736" s="31"/>
      <c r="AC736" s="31"/>
      <c r="AN736" s="32"/>
      <c r="AO736" s="57"/>
    </row>
    <row r="737" spans="6:41">
      <c r="F737" s="31"/>
      <c r="M737" s="31"/>
      <c r="U737" s="31"/>
      <c r="AC737" s="31"/>
      <c r="AN737" s="32"/>
      <c r="AO737" s="57"/>
    </row>
    <row r="738" spans="6:41">
      <c r="F738" s="31"/>
      <c r="M738" s="31"/>
      <c r="U738" s="31"/>
      <c r="AC738" s="31"/>
      <c r="AN738" s="32"/>
      <c r="AO738" s="57"/>
    </row>
    <row r="739" spans="6:41">
      <c r="F739" s="31"/>
      <c r="M739" s="31"/>
      <c r="U739" s="31"/>
      <c r="AC739" s="31"/>
      <c r="AN739" s="32"/>
      <c r="AO739" s="57"/>
    </row>
    <row r="740" spans="6:41">
      <c r="F740" s="31"/>
      <c r="M740" s="31"/>
      <c r="U740" s="31"/>
      <c r="AC740" s="31"/>
      <c r="AN740" s="32"/>
      <c r="AO740" s="57"/>
    </row>
    <row r="741" spans="6:41">
      <c r="F741" s="31"/>
      <c r="M741" s="31"/>
      <c r="U741" s="31"/>
      <c r="AC741" s="31"/>
      <c r="AN741" s="32"/>
      <c r="AO741" s="57"/>
    </row>
    <row r="742" spans="6:41">
      <c r="F742" s="31"/>
      <c r="M742" s="31"/>
      <c r="U742" s="31"/>
      <c r="AC742" s="31"/>
      <c r="AN742" s="32"/>
      <c r="AO742" s="57"/>
    </row>
    <row r="743" spans="6:41">
      <c r="F743" s="31"/>
      <c r="M743" s="31"/>
      <c r="U743" s="31"/>
      <c r="AC743" s="31"/>
      <c r="AN743" s="32"/>
      <c r="AO743" s="57"/>
    </row>
    <row r="744" spans="6:41">
      <c r="F744" s="31"/>
      <c r="M744" s="31"/>
      <c r="U744" s="31"/>
      <c r="AC744" s="31"/>
      <c r="AN744" s="32"/>
      <c r="AO744" s="57"/>
    </row>
    <row r="745" spans="6:41">
      <c r="F745" s="31"/>
      <c r="M745" s="31"/>
      <c r="U745" s="31"/>
      <c r="AC745" s="31"/>
      <c r="AN745" s="32"/>
      <c r="AO745" s="57"/>
    </row>
    <row r="746" spans="6:41">
      <c r="F746" s="31"/>
      <c r="M746" s="31"/>
      <c r="U746" s="31"/>
      <c r="AC746" s="31"/>
      <c r="AN746" s="32"/>
      <c r="AO746" s="57"/>
    </row>
    <row r="747" spans="6:41">
      <c r="F747" s="31"/>
      <c r="M747" s="31"/>
      <c r="U747" s="31"/>
      <c r="AC747" s="31"/>
      <c r="AN747" s="32"/>
      <c r="AO747" s="57"/>
    </row>
    <row r="748" spans="6:41">
      <c r="F748" s="31"/>
      <c r="M748" s="31"/>
      <c r="U748" s="31"/>
      <c r="AC748" s="31"/>
      <c r="AN748" s="32"/>
      <c r="AO748" s="57"/>
    </row>
    <row r="749" spans="6:41">
      <c r="F749" s="31"/>
      <c r="M749" s="31"/>
      <c r="U749" s="31"/>
      <c r="AC749" s="31"/>
      <c r="AN749" s="32"/>
      <c r="AO749" s="57"/>
    </row>
    <row r="750" spans="6:41">
      <c r="F750" s="31"/>
      <c r="M750" s="31"/>
      <c r="U750" s="31"/>
      <c r="AC750" s="31"/>
      <c r="AN750" s="32"/>
      <c r="AO750" s="57"/>
    </row>
    <row r="751" spans="6:41">
      <c r="F751" s="31"/>
      <c r="M751" s="31"/>
      <c r="U751" s="31"/>
      <c r="AC751" s="31"/>
      <c r="AN751" s="32"/>
      <c r="AO751" s="57"/>
    </row>
    <row r="752" spans="6:41">
      <c r="F752" s="31"/>
      <c r="M752" s="31"/>
      <c r="U752" s="31"/>
      <c r="AC752" s="31"/>
      <c r="AN752" s="32"/>
      <c r="AO752" s="57"/>
    </row>
    <row r="753" spans="6:41">
      <c r="F753" s="31"/>
      <c r="M753" s="31"/>
      <c r="U753" s="31"/>
      <c r="AC753" s="31"/>
      <c r="AN753" s="32"/>
      <c r="AO753" s="57"/>
    </row>
    <row r="754" spans="6:41">
      <c r="F754" s="31"/>
      <c r="M754" s="31"/>
      <c r="U754" s="31"/>
      <c r="AC754" s="31"/>
      <c r="AN754" s="32"/>
      <c r="AO754" s="57"/>
    </row>
    <row r="755" spans="6:41">
      <c r="F755" s="31"/>
      <c r="M755" s="31"/>
      <c r="U755" s="31"/>
      <c r="AC755" s="31"/>
      <c r="AN755" s="32"/>
      <c r="AO755" s="57"/>
    </row>
    <row r="756" spans="6:41">
      <c r="F756" s="31"/>
      <c r="M756" s="31"/>
      <c r="U756" s="31"/>
      <c r="AC756" s="31"/>
      <c r="AN756" s="32"/>
      <c r="AO756" s="57"/>
    </row>
    <row r="757" spans="6:41">
      <c r="F757" s="31"/>
      <c r="M757" s="31"/>
      <c r="U757" s="31"/>
      <c r="AC757" s="31"/>
      <c r="AN757" s="32"/>
      <c r="AO757" s="57"/>
    </row>
    <row r="758" spans="6:41">
      <c r="F758" s="31"/>
      <c r="M758" s="31"/>
      <c r="U758" s="31"/>
      <c r="AC758" s="31"/>
      <c r="AN758" s="32"/>
      <c r="AO758" s="57"/>
    </row>
    <row r="759" spans="6:41">
      <c r="F759" s="31"/>
      <c r="M759" s="31"/>
      <c r="U759" s="31"/>
      <c r="AC759" s="31"/>
      <c r="AN759" s="32"/>
      <c r="AO759" s="57"/>
    </row>
    <row r="760" spans="6:41">
      <c r="F760" s="31"/>
      <c r="M760" s="31"/>
      <c r="U760" s="31"/>
      <c r="AC760" s="31"/>
      <c r="AN760" s="32"/>
      <c r="AO760" s="57"/>
    </row>
    <row r="761" spans="6:41">
      <c r="F761" s="31"/>
      <c r="M761" s="31"/>
      <c r="U761" s="31"/>
      <c r="AC761" s="31"/>
      <c r="AN761" s="32"/>
      <c r="AO761" s="57"/>
    </row>
    <row r="762" spans="6:41">
      <c r="F762" s="31"/>
      <c r="M762" s="31"/>
      <c r="U762" s="31"/>
      <c r="AC762" s="31"/>
      <c r="AN762" s="32"/>
      <c r="AO762" s="57"/>
    </row>
    <row r="763" spans="6:41">
      <c r="F763" s="31"/>
      <c r="M763" s="31"/>
      <c r="U763" s="31"/>
      <c r="AC763" s="31"/>
      <c r="AN763" s="32"/>
      <c r="AO763" s="57"/>
    </row>
    <row r="764" spans="6:41">
      <c r="F764" s="31"/>
      <c r="M764" s="31"/>
      <c r="U764" s="31"/>
      <c r="AC764" s="31"/>
      <c r="AN764" s="32"/>
      <c r="AO764" s="57"/>
    </row>
    <row r="765" spans="6:41">
      <c r="F765" s="31"/>
      <c r="M765" s="31"/>
      <c r="U765" s="31"/>
      <c r="AC765" s="31"/>
      <c r="AN765" s="32"/>
      <c r="AO765" s="57"/>
    </row>
    <row r="766" spans="6:41">
      <c r="F766" s="31"/>
      <c r="M766" s="31"/>
      <c r="U766" s="31"/>
      <c r="AC766" s="31"/>
      <c r="AN766" s="32"/>
      <c r="AO766" s="57"/>
    </row>
    <row r="767" spans="6:41">
      <c r="F767" s="31"/>
      <c r="M767" s="31"/>
      <c r="U767" s="31"/>
      <c r="AC767" s="31"/>
      <c r="AN767" s="32"/>
      <c r="AO767" s="57"/>
    </row>
    <row r="768" spans="6:41">
      <c r="F768" s="31"/>
      <c r="M768" s="31"/>
      <c r="U768" s="31"/>
      <c r="AC768" s="31"/>
      <c r="AN768" s="32"/>
      <c r="AO768" s="57"/>
    </row>
    <row r="769" spans="6:41">
      <c r="F769" s="31"/>
      <c r="M769" s="31"/>
      <c r="U769" s="31"/>
      <c r="AC769" s="31"/>
      <c r="AN769" s="32"/>
      <c r="AO769" s="57"/>
    </row>
    <row r="770" spans="6:41">
      <c r="F770" s="31"/>
      <c r="M770" s="31"/>
      <c r="U770" s="31"/>
      <c r="AC770" s="31"/>
      <c r="AN770" s="32"/>
      <c r="AO770" s="57"/>
    </row>
    <row r="771" spans="6:41">
      <c r="F771" s="31"/>
      <c r="M771" s="31"/>
      <c r="U771" s="31"/>
      <c r="AC771" s="31"/>
      <c r="AN771" s="32"/>
      <c r="AO771" s="57"/>
    </row>
    <row r="772" spans="6:41">
      <c r="F772" s="31"/>
      <c r="M772" s="31"/>
      <c r="U772" s="31"/>
      <c r="AC772" s="31"/>
      <c r="AN772" s="32"/>
      <c r="AO772" s="57"/>
    </row>
    <row r="773" spans="6:41">
      <c r="F773" s="31"/>
      <c r="M773" s="31"/>
      <c r="U773" s="31"/>
      <c r="AC773" s="31"/>
      <c r="AN773" s="32"/>
      <c r="AO773" s="57"/>
    </row>
    <row r="774" spans="6:41">
      <c r="F774" s="31"/>
      <c r="M774" s="31"/>
      <c r="U774" s="31"/>
      <c r="AC774" s="31"/>
      <c r="AN774" s="32"/>
      <c r="AO774" s="57"/>
    </row>
    <row r="775" spans="6:41">
      <c r="F775" s="31"/>
      <c r="M775" s="31"/>
      <c r="U775" s="31"/>
      <c r="AC775" s="31"/>
      <c r="AN775" s="32"/>
      <c r="AO775" s="57"/>
    </row>
    <row r="776" spans="6:41">
      <c r="F776" s="31"/>
      <c r="M776" s="31"/>
      <c r="U776" s="31"/>
      <c r="AC776" s="31"/>
      <c r="AN776" s="32"/>
      <c r="AO776" s="57"/>
    </row>
    <row r="777" spans="6:41">
      <c r="F777" s="31"/>
      <c r="M777" s="31"/>
      <c r="U777" s="31"/>
      <c r="AC777" s="31"/>
      <c r="AN777" s="32"/>
      <c r="AO777" s="57"/>
    </row>
    <row r="778" spans="6:41">
      <c r="F778" s="31"/>
      <c r="M778" s="31"/>
      <c r="U778" s="31"/>
      <c r="AC778" s="31"/>
      <c r="AN778" s="32"/>
      <c r="AO778" s="57"/>
    </row>
    <row r="779" spans="6:41">
      <c r="F779" s="31"/>
      <c r="M779" s="31"/>
      <c r="U779" s="31"/>
      <c r="AC779" s="31"/>
      <c r="AN779" s="32"/>
      <c r="AO779" s="57"/>
    </row>
    <row r="780" spans="6:41">
      <c r="F780" s="31"/>
      <c r="M780" s="31"/>
      <c r="U780" s="31"/>
      <c r="AC780" s="31"/>
      <c r="AN780" s="32"/>
      <c r="AO780" s="57"/>
    </row>
    <row r="781" spans="6:41">
      <c r="F781" s="31"/>
      <c r="M781" s="31"/>
      <c r="U781" s="31"/>
      <c r="AC781" s="31"/>
      <c r="AN781" s="32"/>
      <c r="AO781" s="57"/>
    </row>
    <row r="782" spans="6:41">
      <c r="F782" s="31"/>
      <c r="M782" s="31"/>
      <c r="U782" s="31"/>
      <c r="AC782" s="31"/>
      <c r="AN782" s="32"/>
      <c r="AO782" s="57"/>
    </row>
    <row r="783" spans="6:41">
      <c r="F783" s="31"/>
      <c r="M783" s="31"/>
      <c r="U783" s="31"/>
      <c r="AC783" s="31"/>
      <c r="AN783" s="32"/>
      <c r="AO783" s="57"/>
    </row>
    <row r="784" spans="6:41">
      <c r="F784" s="31"/>
      <c r="M784" s="31"/>
      <c r="U784" s="31"/>
      <c r="AC784" s="31"/>
      <c r="AN784" s="32"/>
      <c r="AO784" s="57"/>
    </row>
    <row r="785" spans="6:41">
      <c r="F785" s="31"/>
      <c r="M785" s="31"/>
      <c r="U785" s="31"/>
      <c r="AC785" s="31"/>
      <c r="AN785" s="32"/>
      <c r="AO785" s="57"/>
    </row>
    <row r="786" spans="6:41">
      <c r="F786" s="31"/>
      <c r="M786" s="31"/>
      <c r="U786" s="31"/>
      <c r="AC786" s="31"/>
      <c r="AN786" s="32"/>
      <c r="AO786" s="57"/>
    </row>
    <row r="787" spans="6:41">
      <c r="F787" s="31"/>
      <c r="M787" s="31"/>
      <c r="U787" s="31"/>
      <c r="AC787" s="31"/>
      <c r="AN787" s="32"/>
      <c r="AO787" s="57"/>
    </row>
    <row r="788" spans="6:41">
      <c r="F788" s="31"/>
      <c r="M788" s="31"/>
      <c r="U788" s="31"/>
      <c r="AC788" s="31"/>
      <c r="AN788" s="32"/>
      <c r="AO788" s="57"/>
    </row>
    <row r="789" spans="6:41">
      <c r="F789" s="31"/>
      <c r="M789" s="31"/>
      <c r="U789" s="31"/>
      <c r="AC789" s="31"/>
      <c r="AN789" s="32"/>
      <c r="AO789" s="57"/>
    </row>
    <row r="790" spans="6:41">
      <c r="F790" s="31"/>
      <c r="M790" s="31"/>
      <c r="U790" s="31"/>
      <c r="AC790" s="31"/>
      <c r="AN790" s="32"/>
      <c r="AO790" s="57"/>
    </row>
    <row r="791" spans="6:41">
      <c r="F791" s="31"/>
      <c r="M791" s="31"/>
      <c r="U791" s="31"/>
      <c r="AC791" s="31"/>
      <c r="AN791" s="32"/>
      <c r="AO791" s="57"/>
    </row>
    <row r="792" spans="6:41">
      <c r="F792" s="31"/>
      <c r="M792" s="31"/>
      <c r="U792" s="31"/>
      <c r="AC792" s="31"/>
      <c r="AN792" s="32"/>
      <c r="AO792" s="57"/>
    </row>
    <row r="793" spans="6:41">
      <c r="F793" s="31"/>
      <c r="M793" s="31"/>
      <c r="U793" s="31"/>
      <c r="AC793" s="31"/>
      <c r="AN793" s="32"/>
      <c r="AO793" s="57"/>
    </row>
    <row r="794" spans="6:41">
      <c r="F794" s="31"/>
      <c r="M794" s="31"/>
      <c r="U794" s="31"/>
      <c r="AC794" s="31"/>
      <c r="AN794" s="32"/>
      <c r="AO794" s="57"/>
    </row>
    <row r="795" spans="6:41">
      <c r="F795" s="31"/>
      <c r="M795" s="31"/>
      <c r="U795" s="31"/>
      <c r="AC795" s="31"/>
      <c r="AN795" s="32"/>
      <c r="AO795" s="57"/>
    </row>
    <row r="796" spans="6:41">
      <c r="F796" s="31"/>
      <c r="M796" s="31"/>
      <c r="U796" s="31"/>
      <c r="AC796" s="31"/>
      <c r="AN796" s="32"/>
      <c r="AO796" s="57"/>
    </row>
    <row r="797" spans="6:41">
      <c r="F797" s="31"/>
      <c r="M797" s="31"/>
      <c r="U797" s="31"/>
      <c r="AC797" s="31"/>
      <c r="AN797" s="32"/>
      <c r="AO797" s="57"/>
    </row>
    <row r="798" spans="6:41">
      <c r="F798" s="31"/>
      <c r="M798" s="31"/>
      <c r="U798" s="31"/>
      <c r="AC798" s="31"/>
      <c r="AN798" s="32"/>
      <c r="AO798" s="57"/>
    </row>
    <row r="799" spans="6:41">
      <c r="F799" s="31"/>
      <c r="M799" s="31"/>
      <c r="U799" s="31"/>
      <c r="AC799" s="31"/>
      <c r="AN799" s="32"/>
      <c r="AO799" s="57"/>
    </row>
    <row r="800" spans="6:41">
      <c r="F800" s="31"/>
      <c r="M800" s="31"/>
      <c r="U800" s="31"/>
      <c r="AC800" s="31"/>
      <c r="AN800" s="32"/>
      <c r="AO800" s="57"/>
    </row>
    <row r="801" spans="6:41">
      <c r="F801" s="31"/>
      <c r="M801" s="31"/>
      <c r="U801" s="31"/>
      <c r="AC801" s="31"/>
      <c r="AN801" s="32"/>
      <c r="AO801" s="57"/>
    </row>
    <row r="802" spans="6:41">
      <c r="F802" s="31"/>
      <c r="M802" s="31"/>
      <c r="U802" s="31"/>
      <c r="AC802" s="31"/>
      <c r="AN802" s="32"/>
      <c r="AO802" s="57"/>
    </row>
    <row r="803" spans="6:41">
      <c r="F803" s="31"/>
      <c r="M803" s="31"/>
      <c r="U803" s="31"/>
      <c r="AC803" s="31"/>
      <c r="AN803" s="32"/>
      <c r="AO803" s="57"/>
    </row>
    <row r="804" spans="6:41">
      <c r="F804" s="31"/>
      <c r="M804" s="31"/>
      <c r="U804" s="31"/>
      <c r="AC804" s="31"/>
      <c r="AN804" s="32"/>
      <c r="AO804" s="57"/>
    </row>
    <row r="805" spans="6:41">
      <c r="F805" s="31"/>
      <c r="M805" s="31"/>
      <c r="U805" s="31"/>
      <c r="AC805" s="31"/>
      <c r="AN805" s="32"/>
      <c r="AO805" s="57"/>
    </row>
    <row r="806" spans="6:41">
      <c r="F806" s="31"/>
      <c r="M806" s="31"/>
      <c r="U806" s="31"/>
      <c r="AC806" s="31"/>
      <c r="AN806" s="32"/>
      <c r="AO806" s="57"/>
    </row>
    <row r="807" spans="6:41">
      <c r="F807" s="31"/>
      <c r="M807" s="31"/>
      <c r="U807" s="31"/>
      <c r="AC807" s="31"/>
      <c r="AN807" s="32"/>
      <c r="AO807" s="57"/>
    </row>
    <row r="808" spans="6:41">
      <c r="F808" s="31"/>
      <c r="M808" s="31"/>
      <c r="U808" s="31"/>
      <c r="AC808" s="31"/>
      <c r="AN808" s="32"/>
      <c r="AO808" s="57"/>
    </row>
    <row r="809" spans="6:41">
      <c r="F809" s="31"/>
      <c r="M809" s="31"/>
      <c r="U809" s="31"/>
      <c r="AC809" s="31"/>
      <c r="AN809" s="32"/>
      <c r="AO809" s="57"/>
    </row>
    <row r="810" spans="6:41">
      <c r="F810" s="31"/>
      <c r="M810" s="31"/>
      <c r="U810" s="31"/>
      <c r="AC810" s="31"/>
      <c r="AN810" s="32"/>
      <c r="AO810" s="57"/>
    </row>
    <row r="811" spans="6:41">
      <c r="F811" s="31"/>
      <c r="M811" s="31"/>
      <c r="U811" s="31"/>
      <c r="AC811" s="31"/>
      <c r="AN811" s="32"/>
      <c r="AO811" s="57"/>
    </row>
    <row r="812" spans="6:41">
      <c r="F812" s="31"/>
      <c r="M812" s="31"/>
      <c r="U812" s="31"/>
      <c r="AC812" s="31"/>
      <c r="AN812" s="32"/>
      <c r="AO812" s="57"/>
    </row>
    <row r="813" spans="6:41">
      <c r="F813" s="31"/>
      <c r="M813" s="31"/>
      <c r="U813" s="31"/>
      <c r="AC813" s="31"/>
      <c r="AN813" s="32"/>
      <c r="AO813" s="57"/>
    </row>
    <row r="814" spans="6:41">
      <c r="F814" s="31"/>
      <c r="M814" s="31"/>
      <c r="U814" s="31"/>
      <c r="AC814" s="31"/>
      <c r="AN814" s="32"/>
      <c r="AO814" s="57"/>
    </row>
    <row r="815" spans="6:41">
      <c r="F815" s="31"/>
      <c r="M815" s="31"/>
      <c r="U815" s="31"/>
      <c r="AC815" s="31"/>
      <c r="AN815" s="32"/>
      <c r="AO815" s="57"/>
    </row>
    <row r="816" spans="6:41">
      <c r="F816" s="31"/>
      <c r="M816" s="31"/>
      <c r="U816" s="31"/>
      <c r="AC816" s="31"/>
      <c r="AN816" s="32"/>
      <c r="AO816" s="57"/>
    </row>
    <row r="817" spans="6:41">
      <c r="F817" s="31"/>
      <c r="M817" s="31"/>
      <c r="U817" s="31"/>
      <c r="AC817" s="31"/>
      <c r="AN817" s="32"/>
      <c r="AO817" s="57"/>
    </row>
    <row r="818" spans="6:41">
      <c r="F818" s="31"/>
      <c r="M818" s="31"/>
      <c r="U818" s="31"/>
      <c r="AC818" s="31"/>
      <c r="AN818" s="32"/>
      <c r="AO818" s="57"/>
    </row>
    <row r="819" spans="6:41">
      <c r="F819" s="31"/>
      <c r="M819" s="31"/>
      <c r="U819" s="31"/>
      <c r="AC819" s="31"/>
      <c r="AN819" s="32"/>
      <c r="AO819" s="57"/>
    </row>
    <row r="820" spans="6:41">
      <c r="F820" s="31"/>
      <c r="M820" s="31"/>
      <c r="U820" s="31"/>
      <c r="AC820" s="31"/>
      <c r="AN820" s="32"/>
      <c r="AO820" s="57"/>
    </row>
    <row r="821" spans="6:41">
      <c r="F821" s="31"/>
      <c r="M821" s="31"/>
      <c r="U821" s="31"/>
      <c r="AC821" s="31"/>
      <c r="AN821" s="32"/>
      <c r="AO821" s="57"/>
    </row>
    <row r="822" spans="6:41">
      <c r="F822" s="31"/>
      <c r="M822" s="31"/>
      <c r="U822" s="31"/>
      <c r="AC822" s="31"/>
      <c r="AN822" s="32"/>
      <c r="AO822" s="57"/>
    </row>
    <row r="823" spans="6:41">
      <c r="F823" s="31"/>
      <c r="M823" s="31"/>
      <c r="U823" s="31"/>
      <c r="AC823" s="31"/>
      <c r="AN823" s="32"/>
      <c r="AO823" s="57"/>
    </row>
    <row r="824" spans="6:41">
      <c r="F824" s="31"/>
      <c r="M824" s="31"/>
      <c r="U824" s="31"/>
      <c r="AC824" s="31"/>
      <c r="AN824" s="32"/>
      <c r="AO824" s="57"/>
    </row>
    <row r="825" spans="6:41">
      <c r="F825" s="31"/>
      <c r="M825" s="31"/>
      <c r="U825" s="31"/>
      <c r="AC825" s="31"/>
      <c r="AN825" s="32"/>
      <c r="AO825" s="57"/>
    </row>
    <row r="826" spans="6:41">
      <c r="F826" s="31"/>
      <c r="M826" s="31"/>
      <c r="U826" s="31"/>
      <c r="AC826" s="31"/>
      <c r="AN826" s="32"/>
      <c r="AO826" s="57"/>
    </row>
    <row r="827" spans="6:41">
      <c r="F827" s="31"/>
      <c r="M827" s="31"/>
      <c r="U827" s="31"/>
      <c r="AC827" s="31"/>
      <c r="AN827" s="32"/>
      <c r="AO827" s="57"/>
    </row>
    <row r="828" spans="6:41">
      <c r="F828" s="31"/>
      <c r="M828" s="31"/>
      <c r="U828" s="31"/>
      <c r="AC828" s="31"/>
      <c r="AN828" s="32"/>
      <c r="AO828" s="57"/>
    </row>
    <row r="829" spans="6:41">
      <c r="F829" s="31"/>
      <c r="M829" s="31"/>
      <c r="U829" s="31"/>
      <c r="AC829" s="31"/>
      <c r="AN829" s="32"/>
      <c r="AO829" s="57"/>
    </row>
    <row r="830" spans="6:41">
      <c r="F830" s="31"/>
      <c r="M830" s="31"/>
      <c r="U830" s="31"/>
      <c r="AC830" s="31"/>
      <c r="AN830" s="32"/>
      <c r="AO830" s="57"/>
    </row>
    <row r="831" spans="6:41">
      <c r="F831" s="31"/>
      <c r="M831" s="31"/>
      <c r="U831" s="31"/>
      <c r="AC831" s="31"/>
      <c r="AN831" s="32"/>
      <c r="AO831" s="57"/>
    </row>
    <row r="832" spans="6:41">
      <c r="F832" s="31"/>
      <c r="M832" s="31"/>
      <c r="U832" s="31"/>
      <c r="AC832" s="31"/>
      <c r="AN832" s="32"/>
      <c r="AO832" s="57"/>
    </row>
    <row r="833" spans="6:41">
      <c r="F833" s="31"/>
      <c r="M833" s="31"/>
      <c r="U833" s="31"/>
      <c r="AC833" s="31"/>
      <c r="AN833" s="32"/>
      <c r="AO833" s="57"/>
    </row>
    <row r="834" spans="6:41">
      <c r="F834" s="31"/>
      <c r="M834" s="31"/>
      <c r="U834" s="31"/>
      <c r="AC834" s="31"/>
      <c r="AN834" s="32"/>
      <c r="AO834" s="57"/>
    </row>
    <row r="835" spans="6:41">
      <c r="F835" s="31"/>
      <c r="M835" s="31"/>
      <c r="U835" s="31"/>
      <c r="AC835" s="31"/>
      <c r="AN835" s="32"/>
      <c r="AO835" s="57"/>
    </row>
    <row r="836" spans="6:41">
      <c r="F836" s="31"/>
      <c r="M836" s="31"/>
      <c r="U836" s="31"/>
      <c r="AC836" s="31"/>
      <c r="AN836" s="32"/>
      <c r="AO836" s="57"/>
    </row>
    <row r="837" spans="6:41">
      <c r="F837" s="31"/>
      <c r="M837" s="31"/>
      <c r="U837" s="31"/>
      <c r="AC837" s="31"/>
      <c r="AN837" s="32"/>
      <c r="AO837" s="57"/>
    </row>
    <row r="838" spans="6:41">
      <c r="F838" s="31"/>
      <c r="M838" s="31"/>
      <c r="U838" s="31"/>
      <c r="AC838" s="31"/>
      <c r="AN838" s="32"/>
      <c r="AO838" s="57"/>
    </row>
    <row r="839" spans="6:41">
      <c r="F839" s="31"/>
      <c r="M839" s="31"/>
      <c r="U839" s="31"/>
      <c r="AC839" s="31"/>
      <c r="AN839" s="32"/>
      <c r="AO839" s="57"/>
    </row>
    <row r="840" spans="6:41">
      <c r="F840" s="31"/>
      <c r="M840" s="31"/>
      <c r="U840" s="31"/>
      <c r="AC840" s="31"/>
      <c r="AN840" s="32"/>
      <c r="AO840" s="57"/>
    </row>
    <row r="841" spans="6:41">
      <c r="F841" s="31"/>
      <c r="M841" s="31"/>
      <c r="U841" s="31"/>
      <c r="AC841" s="31"/>
      <c r="AN841" s="32"/>
      <c r="AO841" s="57"/>
    </row>
    <row r="842" spans="6:41">
      <c r="F842" s="31"/>
      <c r="M842" s="31"/>
      <c r="U842" s="31"/>
      <c r="AC842" s="31"/>
      <c r="AN842" s="32"/>
      <c r="AO842" s="57"/>
    </row>
    <row r="843" spans="6:41">
      <c r="F843" s="31"/>
      <c r="M843" s="31"/>
      <c r="U843" s="31"/>
      <c r="AC843" s="31"/>
      <c r="AN843" s="32"/>
      <c r="AO843" s="57"/>
    </row>
    <row r="844" spans="6:41">
      <c r="F844" s="31"/>
      <c r="M844" s="31"/>
      <c r="U844" s="31"/>
      <c r="AC844" s="31"/>
      <c r="AN844" s="32"/>
      <c r="AO844" s="57"/>
    </row>
    <row r="845" spans="6:41">
      <c r="F845" s="31"/>
      <c r="M845" s="31"/>
      <c r="U845" s="31"/>
      <c r="AC845" s="31"/>
      <c r="AN845" s="32"/>
      <c r="AO845" s="57"/>
    </row>
    <row r="846" spans="6:41">
      <c r="F846" s="31"/>
      <c r="M846" s="31"/>
      <c r="U846" s="31"/>
      <c r="AC846" s="31"/>
      <c r="AN846" s="32"/>
      <c r="AO846" s="57"/>
    </row>
    <row r="847" spans="6:41">
      <c r="F847" s="31"/>
      <c r="M847" s="31"/>
      <c r="U847" s="31"/>
      <c r="AC847" s="31"/>
      <c r="AN847" s="32"/>
      <c r="AO847" s="57"/>
    </row>
    <row r="848" spans="6:41">
      <c r="F848" s="31"/>
      <c r="M848" s="31"/>
      <c r="U848" s="31"/>
      <c r="AC848" s="31"/>
      <c r="AN848" s="32"/>
      <c r="AO848" s="57"/>
    </row>
    <row r="849" spans="6:41">
      <c r="F849" s="31"/>
      <c r="M849" s="31"/>
      <c r="U849" s="31"/>
      <c r="AC849" s="31"/>
      <c r="AN849" s="32"/>
      <c r="AO849" s="57"/>
    </row>
    <row r="850" spans="6:41">
      <c r="F850" s="31"/>
      <c r="M850" s="31"/>
      <c r="U850" s="31"/>
      <c r="AC850" s="31"/>
      <c r="AN850" s="32"/>
      <c r="AO850" s="57"/>
    </row>
    <row r="851" spans="6:41">
      <c r="F851" s="31"/>
      <c r="M851" s="31"/>
      <c r="U851" s="31"/>
      <c r="AC851" s="31"/>
      <c r="AN851" s="32"/>
      <c r="AO851" s="57"/>
    </row>
    <row r="852" spans="6:41">
      <c r="F852" s="31"/>
      <c r="M852" s="31"/>
      <c r="U852" s="31"/>
      <c r="AC852" s="31"/>
      <c r="AN852" s="32"/>
      <c r="AO852" s="57"/>
    </row>
    <row r="853" spans="6:41">
      <c r="F853" s="31"/>
      <c r="M853" s="31"/>
      <c r="U853" s="31"/>
      <c r="AC853" s="31"/>
      <c r="AN853" s="32"/>
      <c r="AO853" s="57"/>
    </row>
    <row r="854" spans="6:41">
      <c r="F854" s="31"/>
      <c r="M854" s="31"/>
      <c r="U854" s="31"/>
      <c r="AC854" s="31"/>
      <c r="AN854" s="32"/>
      <c r="AO854" s="57"/>
    </row>
    <row r="855" spans="6:41">
      <c r="F855" s="31"/>
      <c r="M855" s="31"/>
      <c r="U855" s="31"/>
      <c r="AC855" s="31"/>
      <c r="AN855" s="32"/>
      <c r="AO855" s="57"/>
    </row>
    <row r="856" spans="6:41">
      <c r="F856" s="31"/>
      <c r="M856" s="31"/>
      <c r="U856" s="31"/>
      <c r="AC856" s="31"/>
      <c r="AN856" s="32"/>
      <c r="AO856" s="57"/>
    </row>
    <row r="857" spans="6:41">
      <c r="F857" s="31"/>
      <c r="M857" s="31"/>
      <c r="U857" s="31"/>
      <c r="AC857" s="31"/>
      <c r="AN857" s="32"/>
      <c r="AO857" s="57"/>
    </row>
    <row r="858" spans="6:41">
      <c r="F858" s="31"/>
      <c r="M858" s="31"/>
      <c r="U858" s="31"/>
      <c r="AC858" s="31"/>
      <c r="AN858" s="32"/>
      <c r="AO858" s="57"/>
    </row>
    <row r="859" spans="6:41">
      <c r="F859" s="31"/>
      <c r="M859" s="31"/>
      <c r="U859" s="31"/>
      <c r="AC859" s="31"/>
      <c r="AN859" s="32"/>
      <c r="AO859" s="57"/>
    </row>
    <row r="860" spans="6:41">
      <c r="F860" s="31"/>
      <c r="M860" s="31"/>
      <c r="U860" s="31"/>
      <c r="AC860" s="31"/>
      <c r="AN860" s="32"/>
      <c r="AO860" s="57"/>
    </row>
    <row r="861" spans="6:41">
      <c r="F861" s="31"/>
      <c r="M861" s="31"/>
      <c r="U861" s="31"/>
      <c r="AC861" s="31"/>
      <c r="AN861" s="32"/>
      <c r="AO861" s="57"/>
    </row>
    <row r="862" spans="6:41">
      <c r="F862" s="31"/>
      <c r="M862" s="31"/>
      <c r="U862" s="31"/>
      <c r="AC862" s="31"/>
      <c r="AN862" s="32"/>
      <c r="AO862" s="57"/>
    </row>
    <row r="863" spans="6:41">
      <c r="F863" s="31"/>
      <c r="M863" s="31"/>
      <c r="U863" s="31"/>
      <c r="AC863" s="31"/>
      <c r="AN863" s="32"/>
      <c r="AO863" s="57"/>
    </row>
    <row r="864" spans="6:41">
      <c r="F864" s="31"/>
      <c r="M864" s="31"/>
      <c r="U864" s="31"/>
      <c r="AC864" s="31"/>
      <c r="AN864" s="32"/>
      <c r="AO864" s="57"/>
    </row>
    <row r="865" spans="6:41">
      <c r="F865" s="31"/>
      <c r="M865" s="31"/>
      <c r="U865" s="31"/>
      <c r="AC865" s="31"/>
      <c r="AN865" s="32"/>
      <c r="AO865" s="57"/>
    </row>
    <row r="866" spans="6:41">
      <c r="F866" s="31"/>
      <c r="M866" s="31"/>
      <c r="U866" s="31"/>
      <c r="AC866" s="31"/>
      <c r="AN866" s="32"/>
      <c r="AO866" s="57"/>
    </row>
    <row r="867" spans="6:41">
      <c r="F867" s="31"/>
      <c r="M867" s="31"/>
      <c r="U867" s="31"/>
      <c r="AC867" s="31"/>
      <c r="AN867" s="32"/>
      <c r="AO867" s="57"/>
    </row>
    <row r="868" spans="6:41">
      <c r="F868" s="31"/>
      <c r="M868" s="31"/>
      <c r="U868" s="31"/>
      <c r="AC868" s="31"/>
      <c r="AN868" s="32"/>
      <c r="AO868" s="57"/>
    </row>
    <row r="869" spans="6:41">
      <c r="F869" s="31"/>
      <c r="M869" s="31"/>
      <c r="U869" s="31"/>
      <c r="AC869" s="31"/>
      <c r="AN869" s="32"/>
      <c r="AO869" s="57"/>
    </row>
    <row r="870" spans="6:41">
      <c r="F870" s="31"/>
      <c r="M870" s="31"/>
      <c r="U870" s="31"/>
      <c r="AC870" s="31"/>
      <c r="AN870" s="32"/>
      <c r="AO870" s="57"/>
    </row>
    <row r="871" spans="6:41">
      <c r="F871" s="31"/>
      <c r="M871" s="31"/>
      <c r="U871" s="31"/>
      <c r="AC871" s="31"/>
      <c r="AN871" s="32"/>
      <c r="AO871" s="57"/>
    </row>
    <row r="872" spans="6:41">
      <c r="F872" s="31"/>
      <c r="M872" s="31"/>
      <c r="U872" s="31"/>
      <c r="AC872" s="31"/>
      <c r="AN872" s="32"/>
      <c r="AO872" s="57"/>
    </row>
    <row r="873" spans="6:41">
      <c r="F873" s="31"/>
      <c r="M873" s="31"/>
      <c r="U873" s="31"/>
      <c r="AC873" s="31"/>
      <c r="AN873" s="32"/>
      <c r="AO873" s="57"/>
    </row>
    <row r="874" spans="6:41">
      <c r="F874" s="31"/>
      <c r="M874" s="31"/>
      <c r="U874" s="31"/>
      <c r="AC874" s="31"/>
      <c r="AN874" s="32"/>
      <c r="AO874" s="57"/>
    </row>
    <row r="875" spans="6:41">
      <c r="F875" s="31"/>
      <c r="M875" s="31"/>
      <c r="U875" s="31"/>
      <c r="AC875" s="31"/>
      <c r="AN875" s="32"/>
      <c r="AO875" s="57"/>
    </row>
    <row r="876" spans="6:41">
      <c r="F876" s="31"/>
      <c r="M876" s="31"/>
      <c r="U876" s="31"/>
      <c r="AC876" s="31"/>
      <c r="AN876" s="32"/>
      <c r="AO876" s="57"/>
    </row>
    <row r="877" spans="6:41">
      <c r="F877" s="31"/>
      <c r="M877" s="31"/>
      <c r="U877" s="31"/>
      <c r="AC877" s="31"/>
      <c r="AN877" s="32"/>
      <c r="AO877" s="57"/>
    </row>
    <row r="878" spans="6:41">
      <c r="F878" s="31"/>
      <c r="M878" s="31"/>
      <c r="U878" s="31"/>
      <c r="AC878" s="31"/>
      <c r="AN878" s="32"/>
      <c r="AO878" s="57"/>
    </row>
    <row r="879" spans="6:41">
      <c r="F879" s="31"/>
      <c r="M879" s="31"/>
      <c r="U879" s="31"/>
      <c r="AC879" s="31"/>
      <c r="AN879" s="32"/>
      <c r="AO879" s="57"/>
    </row>
    <row r="880" spans="6:41">
      <c r="F880" s="31"/>
      <c r="M880" s="31"/>
      <c r="U880" s="31"/>
      <c r="AC880" s="31"/>
      <c r="AN880" s="32"/>
      <c r="AO880" s="57"/>
    </row>
    <row r="881" spans="6:41">
      <c r="F881" s="31"/>
      <c r="M881" s="31"/>
      <c r="U881" s="31"/>
      <c r="AC881" s="31"/>
      <c r="AN881" s="32"/>
      <c r="AO881" s="57"/>
    </row>
    <row r="882" spans="6:41">
      <c r="F882" s="31"/>
      <c r="M882" s="31"/>
      <c r="U882" s="31"/>
      <c r="AC882" s="31"/>
      <c r="AN882" s="32"/>
      <c r="AO882" s="57"/>
    </row>
    <row r="883" spans="6:41">
      <c r="F883" s="31"/>
      <c r="M883" s="31"/>
      <c r="U883" s="31"/>
      <c r="AC883" s="31"/>
      <c r="AN883" s="32"/>
      <c r="AO883" s="57"/>
    </row>
    <row r="884" spans="6:41">
      <c r="F884" s="31"/>
      <c r="M884" s="31"/>
      <c r="U884" s="31"/>
      <c r="AC884" s="31"/>
      <c r="AN884" s="32"/>
      <c r="AO884" s="57"/>
    </row>
    <row r="885" spans="6:41">
      <c r="F885" s="31"/>
      <c r="M885" s="31"/>
      <c r="U885" s="31"/>
      <c r="AC885" s="31"/>
      <c r="AN885" s="32"/>
      <c r="AO885" s="57"/>
    </row>
    <row r="886" spans="6:41">
      <c r="F886" s="31"/>
      <c r="M886" s="31"/>
      <c r="U886" s="31"/>
      <c r="AC886" s="31"/>
      <c r="AN886" s="32"/>
      <c r="AO886" s="57"/>
    </row>
    <row r="887" spans="6:41">
      <c r="F887" s="31"/>
      <c r="M887" s="31"/>
      <c r="U887" s="31"/>
      <c r="AC887" s="31"/>
      <c r="AN887" s="32"/>
      <c r="AO887" s="57"/>
    </row>
    <row r="888" spans="6:41">
      <c r="F888" s="31"/>
      <c r="M888" s="31"/>
      <c r="U888" s="31"/>
      <c r="AC888" s="31"/>
      <c r="AN888" s="32"/>
      <c r="AO888" s="57"/>
    </row>
    <row r="889" spans="6:41">
      <c r="F889" s="31"/>
      <c r="M889" s="31"/>
      <c r="U889" s="31"/>
      <c r="AC889" s="31"/>
      <c r="AN889" s="32"/>
      <c r="AO889" s="57"/>
    </row>
    <row r="890" spans="6:41">
      <c r="F890" s="31"/>
      <c r="M890" s="31"/>
      <c r="U890" s="31"/>
      <c r="AC890" s="31"/>
      <c r="AN890" s="32"/>
      <c r="AO890" s="57"/>
    </row>
    <row r="891" spans="6:41">
      <c r="F891" s="31"/>
      <c r="M891" s="31"/>
      <c r="U891" s="31"/>
      <c r="AC891" s="31"/>
      <c r="AN891" s="32"/>
      <c r="AO891" s="57"/>
    </row>
    <row r="892" spans="6:41">
      <c r="F892" s="31"/>
      <c r="M892" s="31"/>
      <c r="U892" s="31"/>
      <c r="AC892" s="31"/>
      <c r="AN892" s="32"/>
      <c r="AO892" s="57"/>
    </row>
    <row r="893" spans="6:41">
      <c r="F893" s="31"/>
      <c r="M893" s="31"/>
      <c r="U893" s="31"/>
      <c r="AC893" s="31"/>
      <c r="AN893" s="32"/>
      <c r="AO893" s="57"/>
    </row>
    <row r="894" spans="6:41">
      <c r="F894" s="31"/>
      <c r="M894" s="31"/>
      <c r="U894" s="31"/>
      <c r="AC894" s="31"/>
      <c r="AN894" s="32"/>
      <c r="AO894" s="57"/>
    </row>
    <row r="895" spans="6:41">
      <c r="F895" s="31"/>
      <c r="M895" s="31"/>
      <c r="U895" s="31"/>
      <c r="AC895" s="31"/>
      <c r="AN895" s="32"/>
      <c r="AO895" s="57"/>
    </row>
    <row r="896" spans="6:41">
      <c r="F896" s="31"/>
      <c r="M896" s="31"/>
      <c r="U896" s="31"/>
      <c r="AC896" s="31"/>
      <c r="AN896" s="32"/>
      <c r="AO896" s="57"/>
    </row>
    <row r="897" spans="6:41">
      <c r="F897" s="31"/>
      <c r="M897" s="31"/>
      <c r="U897" s="31"/>
      <c r="AC897" s="31"/>
      <c r="AN897" s="32"/>
      <c r="AO897" s="57"/>
    </row>
    <row r="898" spans="6:41">
      <c r="F898" s="31"/>
      <c r="M898" s="31"/>
      <c r="U898" s="31"/>
      <c r="AC898" s="31"/>
      <c r="AN898" s="32"/>
      <c r="AO898" s="57"/>
    </row>
    <row r="899" spans="6:41">
      <c r="F899" s="31"/>
      <c r="M899" s="31"/>
      <c r="U899" s="31"/>
      <c r="AC899" s="31"/>
      <c r="AN899" s="32"/>
      <c r="AO899" s="57"/>
    </row>
    <row r="900" spans="6:41">
      <c r="F900" s="31"/>
      <c r="M900" s="31"/>
      <c r="U900" s="31"/>
      <c r="AC900" s="31"/>
      <c r="AN900" s="32"/>
      <c r="AO900" s="57"/>
    </row>
    <row r="901" spans="6:41">
      <c r="F901" s="31"/>
      <c r="M901" s="31"/>
      <c r="U901" s="31"/>
      <c r="AC901" s="31"/>
      <c r="AN901" s="32"/>
      <c r="AO901" s="57"/>
    </row>
    <row r="902" spans="6:41">
      <c r="F902" s="31"/>
      <c r="M902" s="31"/>
      <c r="U902" s="31"/>
      <c r="AC902" s="31"/>
      <c r="AN902" s="32"/>
      <c r="AO902" s="57"/>
    </row>
    <row r="903" spans="6:41">
      <c r="F903" s="31"/>
      <c r="M903" s="31"/>
      <c r="U903" s="31"/>
      <c r="AC903" s="31"/>
      <c r="AN903" s="32"/>
      <c r="AO903" s="57"/>
    </row>
    <row r="904" spans="6:41">
      <c r="F904" s="31"/>
      <c r="M904" s="31"/>
      <c r="U904" s="31"/>
      <c r="AC904" s="31"/>
      <c r="AN904" s="32"/>
      <c r="AO904" s="57"/>
    </row>
    <row r="905" spans="6:41">
      <c r="F905" s="31"/>
      <c r="M905" s="31"/>
      <c r="U905" s="31"/>
      <c r="AC905" s="31"/>
      <c r="AN905" s="32"/>
      <c r="AO905" s="57"/>
    </row>
    <row r="906" spans="6:41">
      <c r="F906" s="31"/>
      <c r="M906" s="31"/>
      <c r="U906" s="31"/>
      <c r="AC906" s="31"/>
      <c r="AN906" s="32"/>
      <c r="AO906" s="57"/>
    </row>
    <row r="907" spans="6:41">
      <c r="F907" s="31"/>
      <c r="M907" s="31"/>
      <c r="U907" s="31"/>
      <c r="AC907" s="31"/>
      <c r="AN907" s="32"/>
      <c r="AO907" s="57"/>
    </row>
    <row r="908" spans="6:41">
      <c r="F908" s="31"/>
      <c r="M908" s="31"/>
      <c r="U908" s="31"/>
      <c r="AC908" s="31"/>
      <c r="AN908" s="32"/>
      <c r="AO908" s="57"/>
    </row>
    <row r="909" spans="6:41">
      <c r="F909" s="31"/>
      <c r="M909" s="31"/>
      <c r="U909" s="31"/>
      <c r="AC909" s="31"/>
      <c r="AN909" s="32"/>
      <c r="AO909" s="57"/>
    </row>
    <row r="910" spans="6:41">
      <c r="F910" s="31"/>
      <c r="M910" s="31"/>
      <c r="U910" s="31"/>
      <c r="AC910" s="31"/>
      <c r="AN910" s="32"/>
      <c r="AO910" s="57"/>
    </row>
    <row r="911" spans="6:41">
      <c r="F911" s="31"/>
      <c r="M911" s="31"/>
      <c r="U911" s="31"/>
      <c r="AC911" s="31"/>
      <c r="AN911" s="32"/>
      <c r="AO911" s="57"/>
    </row>
    <row r="912" spans="6:41">
      <c r="F912" s="31"/>
      <c r="M912" s="31"/>
      <c r="U912" s="31"/>
      <c r="AC912" s="31"/>
      <c r="AN912" s="32"/>
      <c r="AO912" s="57"/>
    </row>
    <row r="913" spans="6:41">
      <c r="F913" s="31"/>
      <c r="M913" s="31"/>
      <c r="U913" s="31"/>
      <c r="AC913" s="31"/>
      <c r="AN913" s="32"/>
      <c r="AO913" s="57"/>
    </row>
    <row r="914" spans="6:41">
      <c r="F914" s="31"/>
      <c r="M914" s="31"/>
      <c r="U914" s="31"/>
      <c r="AC914" s="31"/>
      <c r="AN914" s="32"/>
      <c r="AO914" s="57"/>
    </row>
    <row r="915" spans="6:41">
      <c r="F915" s="31"/>
      <c r="M915" s="31"/>
      <c r="U915" s="31"/>
      <c r="AC915" s="31"/>
      <c r="AN915" s="32"/>
      <c r="AO915" s="57"/>
    </row>
    <row r="916" spans="6:41">
      <c r="F916" s="31"/>
      <c r="M916" s="31"/>
      <c r="U916" s="31"/>
      <c r="AC916" s="31"/>
      <c r="AN916" s="32"/>
      <c r="AO916" s="57"/>
    </row>
    <row r="917" spans="6:41">
      <c r="F917" s="31"/>
      <c r="M917" s="31"/>
      <c r="U917" s="31"/>
      <c r="AC917" s="31"/>
      <c r="AN917" s="32"/>
      <c r="AO917" s="57"/>
    </row>
    <row r="918" spans="6:41">
      <c r="F918" s="31"/>
      <c r="M918" s="31"/>
      <c r="U918" s="31"/>
      <c r="AC918" s="31"/>
      <c r="AN918" s="32"/>
      <c r="AO918" s="57"/>
    </row>
    <row r="919" spans="6:41">
      <c r="F919" s="31"/>
      <c r="M919" s="31"/>
      <c r="U919" s="31"/>
      <c r="AC919" s="31"/>
      <c r="AN919" s="32"/>
      <c r="AO919" s="57"/>
    </row>
    <row r="920" spans="6:41">
      <c r="F920" s="31"/>
      <c r="M920" s="31"/>
      <c r="U920" s="31"/>
      <c r="AC920" s="31"/>
      <c r="AN920" s="32"/>
      <c r="AO920" s="57"/>
    </row>
    <row r="921" spans="6:41">
      <c r="F921" s="31"/>
      <c r="M921" s="31"/>
      <c r="U921" s="31"/>
      <c r="AC921" s="31"/>
      <c r="AN921" s="32"/>
      <c r="AO921" s="57"/>
    </row>
    <row r="922" spans="6:41">
      <c r="F922" s="31"/>
      <c r="M922" s="31"/>
      <c r="U922" s="31"/>
      <c r="AC922" s="31"/>
      <c r="AN922" s="32"/>
      <c r="AO922" s="57"/>
    </row>
    <row r="923" spans="6:41">
      <c r="F923" s="31"/>
      <c r="M923" s="31"/>
      <c r="U923" s="31"/>
      <c r="AC923" s="31"/>
      <c r="AN923" s="32"/>
      <c r="AO923" s="57"/>
    </row>
    <row r="924" spans="6:41">
      <c r="F924" s="31"/>
      <c r="M924" s="31"/>
      <c r="U924" s="31"/>
      <c r="AC924" s="31"/>
      <c r="AN924" s="32"/>
      <c r="AO924" s="57"/>
    </row>
    <row r="925" spans="6:41">
      <c r="F925" s="31"/>
      <c r="M925" s="31"/>
      <c r="U925" s="31"/>
      <c r="AC925" s="31"/>
      <c r="AN925" s="32"/>
      <c r="AO925" s="57"/>
    </row>
    <row r="926" spans="6:41">
      <c r="F926" s="31"/>
      <c r="M926" s="31"/>
      <c r="U926" s="31"/>
      <c r="AC926" s="31"/>
      <c r="AN926" s="32"/>
      <c r="AO926" s="57"/>
    </row>
    <row r="927" spans="6:41">
      <c r="F927" s="31"/>
      <c r="M927" s="31"/>
      <c r="U927" s="31"/>
      <c r="AC927" s="31"/>
      <c r="AN927" s="32"/>
      <c r="AO927" s="57"/>
    </row>
    <row r="928" spans="6:41">
      <c r="F928" s="31"/>
      <c r="M928" s="31"/>
      <c r="U928" s="31"/>
      <c r="AC928" s="31"/>
      <c r="AN928" s="32"/>
      <c r="AO928" s="57"/>
    </row>
    <row r="929" spans="6:41">
      <c r="F929" s="31"/>
      <c r="M929" s="31"/>
      <c r="U929" s="31"/>
      <c r="AC929" s="31"/>
      <c r="AN929" s="32"/>
      <c r="AO929" s="57"/>
    </row>
    <row r="930" spans="6:41">
      <c r="F930" s="31"/>
      <c r="M930" s="31"/>
      <c r="U930" s="31"/>
      <c r="AC930" s="31"/>
      <c r="AN930" s="32"/>
      <c r="AO930" s="57"/>
    </row>
    <row r="931" spans="6:41">
      <c r="F931" s="31"/>
      <c r="M931" s="31"/>
      <c r="U931" s="31"/>
      <c r="AC931" s="31"/>
      <c r="AN931" s="32"/>
      <c r="AO931" s="57"/>
    </row>
    <row r="932" spans="6:41">
      <c r="F932" s="31"/>
      <c r="M932" s="31"/>
      <c r="U932" s="31"/>
      <c r="AC932" s="31"/>
      <c r="AN932" s="32"/>
      <c r="AO932" s="57"/>
    </row>
    <row r="933" spans="6:41">
      <c r="F933" s="31"/>
      <c r="M933" s="31"/>
      <c r="U933" s="31"/>
      <c r="AC933" s="31"/>
      <c r="AN933" s="32"/>
      <c r="AO933" s="57"/>
    </row>
    <row r="934" spans="6:41">
      <c r="F934" s="31"/>
      <c r="M934" s="31"/>
      <c r="U934" s="31"/>
      <c r="AC934" s="31"/>
      <c r="AN934" s="32"/>
      <c r="AO934" s="57"/>
    </row>
    <row r="935" spans="6:41">
      <c r="F935" s="31"/>
      <c r="M935" s="31"/>
      <c r="U935" s="31"/>
      <c r="AC935" s="31"/>
      <c r="AN935" s="32"/>
      <c r="AO935" s="57"/>
    </row>
    <row r="936" spans="6:41">
      <c r="F936" s="31"/>
      <c r="M936" s="31"/>
      <c r="U936" s="31"/>
      <c r="AC936" s="31"/>
      <c r="AN936" s="32"/>
      <c r="AO936" s="57"/>
    </row>
    <row r="937" spans="6:41">
      <c r="F937" s="31"/>
      <c r="M937" s="31"/>
      <c r="U937" s="31"/>
      <c r="AC937" s="31"/>
      <c r="AN937" s="32"/>
      <c r="AO937" s="57"/>
    </row>
    <row r="938" spans="6:41">
      <c r="F938" s="31"/>
      <c r="M938" s="31"/>
      <c r="U938" s="31"/>
      <c r="AC938" s="31"/>
      <c r="AN938" s="32"/>
      <c r="AO938" s="57"/>
    </row>
    <row r="939" spans="6:41">
      <c r="F939" s="31"/>
      <c r="M939" s="31"/>
      <c r="U939" s="31"/>
      <c r="AC939" s="31"/>
      <c r="AN939" s="32"/>
      <c r="AO939" s="57"/>
    </row>
    <row r="940" spans="6:41">
      <c r="F940" s="31"/>
      <c r="M940" s="31"/>
      <c r="U940" s="31"/>
      <c r="AC940" s="31"/>
      <c r="AN940" s="32"/>
      <c r="AO940" s="57"/>
    </row>
    <row r="941" spans="6:41">
      <c r="F941" s="31"/>
      <c r="M941" s="31"/>
      <c r="U941" s="31"/>
      <c r="AC941" s="31"/>
      <c r="AN941" s="32"/>
      <c r="AO941" s="57"/>
    </row>
    <row r="942" spans="6:41">
      <c r="F942" s="31"/>
      <c r="M942" s="31"/>
      <c r="U942" s="31"/>
      <c r="AC942" s="31"/>
      <c r="AN942" s="32"/>
      <c r="AO942" s="57"/>
    </row>
    <row r="943" spans="6:41">
      <c r="F943" s="31"/>
      <c r="M943" s="31"/>
      <c r="U943" s="31"/>
      <c r="AC943" s="31"/>
      <c r="AN943" s="32"/>
      <c r="AO943" s="57"/>
    </row>
    <row r="944" spans="6:41">
      <c r="F944" s="31"/>
      <c r="M944" s="31"/>
      <c r="U944" s="31"/>
      <c r="AC944" s="31"/>
      <c r="AN944" s="32"/>
      <c r="AO944" s="57"/>
    </row>
    <row r="945" spans="6:41">
      <c r="F945" s="31"/>
      <c r="M945" s="31"/>
      <c r="U945" s="31"/>
      <c r="AC945" s="31"/>
      <c r="AN945" s="32"/>
      <c r="AO945" s="57"/>
    </row>
    <row r="946" spans="6:41">
      <c r="F946" s="31"/>
      <c r="M946" s="31"/>
      <c r="U946" s="31"/>
      <c r="AC946" s="31"/>
      <c r="AN946" s="32"/>
      <c r="AO946" s="57"/>
    </row>
    <row r="947" spans="6:41">
      <c r="F947" s="31"/>
      <c r="M947" s="31"/>
      <c r="U947" s="31"/>
      <c r="AC947" s="31"/>
      <c r="AN947" s="32"/>
      <c r="AO947" s="57"/>
    </row>
    <row r="948" spans="6:41">
      <c r="F948" s="31"/>
      <c r="M948" s="31"/>
      <c r="U948" s="31"/>
      <c r="AC948" s="31"/>
      <c r="AN948" s="32"/>
      <c r="AO948" s="57"/>
    </row>
    <row r="949" spans="6:41">
      <c r="F949" s="31"/>
      <c r="M949" s="31"/>
      <c r="U949" s="31"/>
      <c r="AC949" s="31"/>
      <c r="AN949" s="32"/>
      <c r="AO949" s="57"/>
    </row>
    <row r="950" spans="6:41">
      <c r="F950" s="31"/>
      <c r="M950" s="31"/>
      <c r="U950" s="31"/>
      <c r="AC950" s="31"/>
      <c r="AN950" s="32"/>
      <c r="AO950" s="57"/>
    </row>
    <row r="951" spans="6:41">
      <c r="F951" s="31"/>
      <c r="M951" s="31"/>
      <c r="U951" s="31"/>
      <c r="AC951" s="31"/>
      <c r="AN951" s="32"/>
      <c r="AO951" s="57"/>
    </row>
    <row r="952" spans="6:41">
      <c r="F952" s="31"/>
      <c r="M952" s="31"/>
      <c r="U952" s="31"/>
      <c r="AC952" s="31"/>
      <c r="AN952" s="32"/>
      <c r="AO952" s="57"/>
    </row>
    <row r="953" spans="6:41">
      <c r="F953" s="31"/>
      <c r="M953" s="31"/>
      <c r="U953" s="31"/>
      <c r="AC953" s="31"/>
      <c r="AN953" s="32"/>
      <c r="AO953" s="57"/>
    </row>
    <row r="954" spans="6:41">
      <c r="F954" s="31"/>
      <c r="M954" s="31"/>
      <c r="U954" s="31"/>
      <c r="AC954" s="31"/>
      <c r="AN954" s="32"/>
      <c r="AO954" s="57"/>
    </row>
    <row r="955" spans="6:41">
      <c r="F955" s="31"/>
      <c r="M955" s="31"/>
      <c r="U955" s="31"/>
      <c r="AC955" s="31"/>
      <c r="AN955" s="32"/>
      <c r="AO955" s="57"/>
    </row>
    <row r="956" spans="6:41">
      <c r="F956" s="31"/>
      <c r="M956" s="31"/>
      <c r="U956" s="31"/>
      <c r="AC956" s="31"/>
      <c r="AN956" s="32"/>
      <c r="AO956" s="57"/>
    </row>
    <row r="957" spans="6:41">
      <c r="F957" s="31"/>
      <c r="M957" s="31"/>
      <c r="U957" s="31"/>
      <c r="AC957" s="31"/>
      <c r="AN957" s="32"/>
      <c r="AO957" s="57"/>
    </row>
    <row r="958" spans="6:41">
      <c r="F958" s="31"/>
      <c r="M958" s="31"/>
      <c r="U958" s="31"/>
      <c r="AC958" s="31"/>
      <c r="AN958" s="32"/>
      <c r="AO958" s="57"/>
    </row>
    <row r="959" spans="6:41">
      <c r="F959" s="31"/>
      <c r="M959" s="31"/>
      <c r="U959" s="31"/>
      <c r="AC959" s="31"/>
      <c r="AN959" s="32"/>
      <c r="AO959" s="57"/>
    </row>
    <row r="960" spans="6:41">
      <c r="F960" s="31"/>
      <c r="M960" s="31"/>
      <c r="U960" s="31"/>
      <c r="AC960" s="31"/>
      <c r="AN960" s="32"/>
      <c r="AO960" s="57"/>
    </row>
    <row r="961" spans="6:41">
      <c r="F961" s="31"/>
      <c r="M961" s="31"/>
      <c r="U961" s="31"/>
      <c r="AC961" s="31"/>
      <c r="AN961" s="32"/>
      <c r="AO961" s="57"/>
    </row>
    <row r="962" spans="6:41">
      <c r="F962" s="31"/>
      <c r="M962" s="31"/>
      <c r="U962" s="31"/>
      <c r="AC962" s="31"/>
      <c r="AN962" s="32"/>
      <c r="AO962" s="57"/>
    </row>
    <row r="963" spans="6:41">
      <c r="F963" s="31"/>
      <c r="M963" s="31"/>
      <c r="U963" s="31"/>
      <c r="AC963" s="31"/>
      <c r="AN963" s="32"/>
      <c r="AO963" s="57"/>
    </row>
    <row r="964" spans="6:41">
      <c r="F964" s="31"/>
      <c r="M964" s="31"/>
      <c r="U964" s="31"/>
      <c r="AC964" s="31"/>
      <c r="AN964" s="32"/>
      <c r="AO964" s="57"/>
    </row>
    <row r="965" spans="6:41">
      <c r="F965" s="31"/>
      <c r="M965" s="31"/>
      <c r="U965" s="31"/>
      <c r="AC965" s="31"/>
      <c r="AN965" s="32"/>
      <c r="AO965" s="57"/>
    </row>
    <row r="966" spans="6:41">
      <c r="F966" s="31"/>
      <c r="M966" s="31"/>
      <c r="U966" s="31"/>
      <c r="AC966" s="31"/>
      <c r="AN966" s="32"/>
      <c r="AO966" s="57"/>
    </row>
    <row r="967" spans="6:41">
      <c r="F967" s="31"/>
      <c r="M967" s="31"/>
      <c r="U967" s="31"/>
      <c r="AC967" s="31"/>
      <c r="AN967" s="32"/>
      <c r="AO967" s="57"/>
    </row>
    <row r="968" spans="6:41">
      <c r="F968" s="31"/>
      <c r="M968" s="31"/>
      <c r="U968" s="31"/>
      <c r="AC968" s="31"/>
      <c r="AN968" s="32"/>
      <c r="AO968" s="57"/>
    </row>
    <row r="969" spans="6:41">
      <c r="F969" s="31"/>
      <c r="M969" s="31"/>
      <c r="U969" s="31"/>
      <c r="AC969" s="31"/>
      <c r="AN969" s="32"/>
      <c r="AO969" s="57"/>
    </row>
    <row r="970" spans="6:41">
      <c r="F970" s="31"/>
      <c r="M970" s="31"/>
      <c r="U970" s="31"/>
      <c r="AC970" s="31"/>
      <c r="AN970" s="32"/>
      <c r="AO970" s="57"/>
    </row>
    <row r="971" spans="6:41">
      <c r="F971" s="31"/>
      <c r="M971" s="31"/>
      <c r="U971" s="31"/>
      <c r="AC971" s="31"/>
      <c r="AN971" s="32"/>
      <c r="AO971" s="57"/>
    </row>
    <row r="972" spans="6:41">
      <c r="F972" s="31"/>
      <c r="M972" s="31"/>
      <c r="U972" s="31"/>
      <c r="AC972" s="31"/>
      <c r="AN972" s="32"/>
      <c r="AO972" s="57"/>
    </row>
    <row r="973" spans="6:41">
      <c r="F973" s="31"/>
      <c r="M973" s="31"/>
      <c r="U973" s="31"/>
      <c r="AC973" s="31"/>
      <c r="AN973" s="32"/>
      <c r="AO973" s="57"/>
    </row>
    <row r="974" spans="6:41">
      <c r="F974" s="31"/>
      <c r="M974" s="31"/>
      <c r="U974" s="31"/>
      <c r="AC974" s="31"/>
      <c r="AN974" s="32"/>
      <c r="AO974" s="57"/>
    </row>
    <row r="975" spans="6:41">
      <c r="F975" s="31"/>
      <c r="M975" s="31"/>
      <c r="U975" s="31"/>
      <c r="AC975" s="31"/>
      <c r="AN975" s="32"/>
      <c r="AO975" s="57"/>
    </row>
    <row r="976" spans="6:41">
      <c r="F976" s="31"/>
      <c r="M976" s="31"/>
      <c r="U976" s="31"/>
      <c r="AC976" s="31"/>
      <c r="AN976" s="32"/>
      <c r="AO976" s="57"/>
    </row>
    <row r="977" spans="6:41">
      <c r="F977" s="31"/>
      <c r="M977" s="31"/>
      <c r="U977" s="31"/>
      <c r="AC977" s="31"/>
      <c r="AN977" s="32"/>
      <c r="AO977" s="57"/>
    </row>
    <row r="978" spans="6:41">
      <c r="F978" s="31"/>
      <c r="M978" s="31"/>
      <c r="U978" s="31"/>
      <c r="AC978" s="31"/>
      <c r="AN978" s="32"/>
      <c r="AO978" s="57"/>
    </row>
    <row r="979" spans="6:41">
      <c r="F979" s="31"/>
      <c r="M979" s="31"/>
      <c r="U979" s="31"/>
      <c r="AC979" s="31"/>
      <c r="AN979" s="32"/>
      <c r="AO979" s="57"/>
    </row>
    <row r="980" spans="6:41">
      <c r="F980" s="31"/>
      <c r="M980" s="31"/>
      <c r="U980" s="31"/>
      <c r="AC980" s="31"/>
      <c r="AN980" s="32"/>
      <c r="AO980" s="57"/>
    </row>
    <row r="981" spans="6:41">
      <c r="F981" s="31"/>
      <c r="M981" s="31"/>
      <c r="U981" s="31"/>
      <c r="AC981" s="31"/>
      <c r="AN981" s="32"/>
      <c r="AO981" s="57"/>
    </row>
    <row r="982" spans="6:41">
      <c r="F982" s="31"/>
      <c r="M982" s="31"/>
      <c r="U982" s="31"/>
      <c r="AC982" s="31"/>
      <c r="AN982" s="32"/>
      <c r="AO982" s="57"/>
    </row>
    <row r="983" spans="6:41">
      <c r="F983" s="31"/>
      <c r="M983" s="31"/>
      <c r="U983" s="31"/>
      <c r="AC983" s="31"/>
      <c r="AN983" s="32"/>
      <c r="AO983" s="57"/>
    </row>
    <row r="984" spans="6:41">
      <c r="F984" s="31"/>
      <c r="M984" s="31"/>
      <c r="U984" s="31"/>
      <c r="AC984" s="31"/>
      <c r="AN984" s="32"/>
      <c r="AO984" s="57"/>
    </row>
    <row r="985" spans="6:41">
      <c r="F985" s="31"/>
      <c r="M985" s="31"/>
      <c r="U985" s="31"/>
      <c r="AC985" s="31"/>
      <c r="AN985" s="32"/>
      <c r="AO985" s="57"/>
    </row>
    <row r="986" spans="6:41">
      <c r="F986" s="31"/>
      <c r="M986" s="31"/>
      <c r="U986" s="31"/>
      <c r="AC986" s="31"/>
      <c r="AN986" s="32"/>
      <c r="AO986" s="57"/>
    </row>
    <row r="987" spans="6:41">
      <c r="F987" s="31"/>
      <c r="M987" s="31"/>
      <c r="U987" s="31"/>
      <c r="AC987" s="31"/>
      <c r="AN987" s="32"/>
      <c r="AO987" s="57"/>
    </row>
    <row r="988" spans="6:41">
      <c r="F988" s="31"/>
      <c r="M988" s="31"/>
      <c r="U988" s="31"/>
      <c r="AC988" s="31"/>
      <c r="AN988" s="32"/>
      <c r="AO988" s="57"/>
    </row>
    <row r="989" spans="6:41">
      <c r="F989" s="31"/>
      <c r="M989" s="31"/>
      <c r="U989" s="31"/>
      <c r="AC989" s="31"/>
      <c r="AN989" s="32"/>
      <c r="AO989" s="57"/>
    </row>
    <row r="990" spans="6:41">
      <c r="F990" s="31"/>
      <c r="M990" s="31"/>
      <c r="U990" s="31"/>
      <c r="AC990" s="31"/>
      <c r="AN990" s="32"/>
      <c r="AO990" s="57"/>
    </row>
    <row r="991" spans="6:41">
      <c r="F991" s="31"/>
      <c r="M991" s="31"/>
      <c r="U991" s="31"/>
      <c r="AC991" s="31"/>
      <c r="AN991" s="32"/>
      <c r="AO991" s="57"/>
    </row>
    <row r="992" spans="6:41">
      <c r="F992" s="31"/>
      <c r="M992" s="31"/>
      <c r="U992" s="31"/>
      <c r="AC992" s="31"/>
      <c r="AN992" s="32"/>
      <c r="AO992" s="57"/>
    </row>
    <row r="993" spans="6:41">
      <c r="F993" s="31"/>
      <c r="M993" s="31"/>
      <c r="U993" s="31"/>
      <c r="AC993" s="31"/>
      <c r="AN993" s="32"/>
      <c r="AO993" s="57"/>
    </row>
    <row r="994" spans="6:41">
      <c r="F994" s="31"/>
      <c r="M994" s="31"/>
      <c r="U994" s="31"/>
      <c r="AC994" s="31"/>
      <c r="AN994" s="32"/>
      <c r="AO994" s="57"/>
    </row>
    <row r="995" spans="6:41">
      <c r="F995" s="31"/>
      <c r="M995" s="31"/>
      <c r="U995" s="31"/>
      <c r="AC995" s="31"/>
      <c r="AN995" s="32"/>
      <c r="AO995" s="57"/>
    </row>
    <row r="996" spans="6:41">
      <c r="F996" s="31"/>
      <c r="M996" s="31"/>
      <c r="U996" s="31"/>
      <c r="AC996" s="31"/>
      <c r="AN996" s="32"/>
      <c r="AO996" s="57"/>
    </row>
    <row r="997" spans="6:41">
      <c r="F997" s="31"/>
      <c r="M997" s="31"/>
      <c r="U997" s="31"/>
      <c r="AC997" s="31"/>
      <c r="AN997" s="32"/>
      <c r="AO997" s="57"/>
    </row>
    <row r="998" spans="6:41">
      <c r="F998" s="31"/>
      <c r="M998" s="31"/>
      <c r="U998" s="31"/>
      <c r="AC998" s="31"/>
      <c r="AN998" s="32"/>
      <c r="AO998" s="57"/>
    </row>
    <row r="999" spans="6:41">
      <c r="F999" s="31"/>
      <c r="M999" s="31"/>
      <c r="U999" s="31"/>
      <c r="AC999" s="31"/>
      <c r="AN999" s="32"/>
      <c r="AO999" s="57"/>
    </row>
    <row r="1000" spans="6:41">
      <c r="F1000" s="31"/>
      <c r="M1000" s="31"/>
      <c r="U1000" s="31"/>
      <c r="AC1000" s="31"/>
      <c r="AN1000" s="32"/>
      <c r="AO1000" s="5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T1000"/>
  <sheetViews>
    <sheetView workbookViewId="0">
      <pane xSplit="6" ySplit="1" topLeftCell="G2"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5.5703125" customWidth="1"/>
    <col min="2" max="2" width="9.42578125" customWidth="1"/>
    <col min="3" max="3" width="7.140625" customWidth="1"/>
    <col min="5" max="5" width="25.140625" customWidth="1"/>
    <col min="6" max="6" width="9" customWidth="1"/>
    <col min="7" max="7" width="6.7109375" customWidth="1"/>
    <col min="8" max="8" width="6.5703125" customWidth="1"/>
    <col min="9" max="9" width="5.85546875" customWidth="1"/>
    <col min="10" max="10" width="5.7109375" customWidth="1"/>
    <col min="11" max="11" width="5.140625" customWidth="1"/>
    <col min="12" max="12" width="7.5703125" customWidth="1"/>
    <col min="13" max="13" width="6.85546875" customWidth="1"/>
    <col min="14" max="16" width="7.42578125" customWidth="1"/>
    <col min="17" max="17" width="5.140625" customWidth="1"/>
    <col min="18" max="18" width="6.5703125" customWidth="1"/>
    <col min="19" max="19" width="5.7109375" customWidth="1"/>
    <col min="20" max="20" width="6.140625" customWidth="1"/>
    <col min="21" max="21" width="8.85546875" customWidth="1"/>
    <col min="22" max="29" width="6.85546875" customWidth="1"/>
    <col min="30" max="37" width="7.7109375" customWidth="1"/>
    <col min="38" max="38" width="11.140625" customWidth="1"/>
    <col min="39" max="39" width="8.5703125" customWidth="1"/>
    <col min="40" max="40" width="34.140625" customWidth="1"/>
    <col min="41" max="41" width="7"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290077837</v>
      </c>
      <c r="E2" s="1" t="s">
        <v>196</v>
      </c>
      <c r="F2" s="45" t="s">
        <v>89</v>
      </c>
      <c r="G2" s="1">
        <v>1</v>
      </c>
      <c r="H2" s="1" t="s">
        <v>22</v>
      </c>
      <c r="J2" s="1" t="s">
        <v>176</v>
      </c>
      <c r="K2" s="1" t="s">
        <v>186</v>
      </c>
      <c r="L2" s="1" t="s">
        <v>197</v>
      </c>
      <c r="N2" s="34">
        <v>8</v>
      </c>
      <c r="O2" s="1">
        <v>0</v>
      </c>
      <c r="P2" s="1">
        <v>0</v>
      </c>
      <c r="Q2" s="1">
        <v>2</v>
      </c>
      <c r="R2" s="1">
        <v>2</v>
      </c>
      <c r="S2" s="1" t="s">
        <v>179</v>
      </c>
      <c r="T2" s="1">
        <v>3</v>
      </c>
      <c r="V2" s="34"/>
      <c r="X2" s="1" t="s">
        <v>178</v>
      </c>
      <c r="AC2" s="31"/>
      <c r="AD2" s="1">
        <v>46</v>
      </c>
      <c r="AE2" s="1">
        <v>5.4</v>
      </c>
      <c r="AF2" s="1">
        <v>300</v>
      </c>
      <c r="AG2" s="1">
        <v>6</v>
      </c>
      <c r="AH2" s="1">
        <v>29</v>
      </c>
      <c r="AI2" s="1">
        <v>630</v>
      </c>
      <c r="AJ2" s="1" t="s">
        <v>180</v>
      </c>
      <c r="AK2" s="1">
        <v>21</v>
      </c>
      <c r="AN2" s="32"/>
      <c r="AO2" s="60" t="s">
        <v>215</v>
      </c>
      <c r="AP2" s="1">
        <v>1</v>
      </c>
    </row>
    <row r="3" spans="1:72">
      <c r="A3" s="1">
        <v>2</v>
      </c>
      <c r="B3" s="1" t="s">
        <v>174</v>
      </c>
      <c r="C3" s="1" t="s">
        <v>157</v>
      </c>
      <c r="D3" s="1">
        <v>172176231</v>
      </c>
      <c r="E3" s="1" t="s">
        <v>175</v>
      </c>
      <c r="F3" s="45" t="s">
        <v>114</v>
      </c>
      <c r="G3" s="1">
        <v>1</v>
      </c>
      <c r="H3" s="1" t="s">
        <v>22</v>
      </c>
      <c r="J3" s="1" t="s">
        <v>176</v>
      </c>
      <c r="K3" s="1" t="s">
        <v>186</v>
      </c>
      <c r="L3" s="1" t="s">
        <v>1</v>
      </c>
      <c r="N3" s="30"/>
      <c r="O3" s="1">
        <v>3</v>
      </c>
      <c r="P3" s="1">
        <v>0</v>
      </c>
      <c r="Q3" s="1">
        <v>3</v>
      </c>
      <c r="R3" s="1">
        <v>0</v>
      </c>
      <c r="S3" s="1" t="s">
        <v>179</v>
      </c>
      <c r="T3" s="1">
        <v>3</v>
      </c>
      <c r="V3" s="30"/>
      <c r="AC3" s="31"/>
      <c r="AD3" s="1">
        <v>63</v>
      </c>
      <c r="AF3" s="35">
        <v>300</v>
      </c>
      <c r="AG3" s="35">
        <v>6</v>
      </c>
      <c r="AH3" s="35">
        <v>29</v>
      </c>
      <c r="AI3" s="1">
        <v>630</v>
      </c>
      <c r="AJ3" s="35" t="s">
        <v>180</v>
      </c>
      <c r="AK3" s="1">
        <v>20</v>
      </c>
      <c r="AM3" s="1">
        <v>1</v>
      </c>
      <c r="AN3" s="43" t="s">
        <v>254</v>
      </c>
      <c r="AO3" s="33" t="s">
        <v>157</v>
      </c>
      <c r="AP3" s="35">
        <v>1</v>
      </c>
    </row>
    <row r="4" spans="1:72">
      <c r="A4" s="36">
        <v>3</v>
      </c>
      <c r="B4" s="36" t="s">
        <v>174</v>
      </c>
      <c r="C4" s="36" t="s">
        <v>189</v>
      </c>
      <c r="D4" s="37"/>
      <c r="E4" s="36" t="s">
        <v>193</v>
      </c>
      <c r="F4" s="58" t="s">
        <v>32</v>
      </c>
      <c r="G4" s="36">
        <v>2</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v>
      </c>
      <c r="AF4" s="40">
        <v>300</v>
      </c>
      <c r="AG4" s="40">
        <v>6</v>
      </c>
      <c r="AH4" s="40">
        <v>29</v>
      </c>
      <c r="AI4" s="36">
        <v>630</v>
      </c>
      <c r="AJ4" s="40" t="s">
        <v>180</v>
      </c>
      <c r="AK4" s="36">
        <v>21</v>
      </c>
      <c r="AL4" s="37"/>
      <c r="AM4" s="37"/>
      <c r="AN4" s="41"/>
      <c r="AO4" s="42" t="s">
        <v>189</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281191230</v>
      </c>
      <c r="E5" s="1" t="s">
        <v>206</v>
      </c>
      <c r="F5" s="45" t="s">
        <v>105</v>
      </c>
      <c r="G5" s="1">
        <v>2</v>
      </c>
      <c r="H5" s="1" t="s">
        <v>183</v>
      </c>
      <c r="J5" s="1" t="s">
        <v>232</v>
      </c>
      <c r="K5" s="1" t="s">
        <v>189</v>
      </c>
      <c r="N5" s="30"/>
      <c r="O5" s="1">
        <v>0</v>
      </c>
      <c r="P5" s="1">
        <v>0</v>
      </c>
      <c r="Q5" s="1">
        <v>3</v>
      </c>
      <c r="R5" s="1">
        <v>1</v>
      </c>
      <c r="S5" s="1" t="s">
        <v>179</v>
      </c>
      <c r="T5" s="1">
        <v>0</v>
      </c>
      <c r="U5" s="1">
        <v>3</v>
      </c>
      <c r="V5" s="34" t="s">
        <v>183</v>
      </c>
      <c r="X5" s="1" t="s">
        <v>183</v>
      </c>
      <c r="AA5" s="1" t="s">
        <v>183</v>
      </c>
      <c r="AB5" s="1" t="s">
        <v>183</v>
      </c>
      <c r="AC5" s="31"/>
      <c r="AD5" s="1">
        <v>72</v>
      </c>
      <c r="AE5" s="1">
        <v>22.8</v>
      </c>
      <c r="AF5" s="35">
        <v>300</v>
      </c>
      <c r="AG5" s="35">
        <v>6</v>
      </c>
      <c r="AH5" s="35">
        <v>29</v>
      </c>
      <c r="AI5" s="1">
        <v>7</v>
      </c>
      <c r="AJ5" s="35" t="s">
        <v>180</v>
      </c>
      <c r="AK5" s="1">
        <v>21</v>
      </c>
      <c r="AM5" s="1">
        <v>2</v>
      </c>
      <c r="AN5" s="43" t="s">
        <v>255</v>
      </c>
      <c r="AO5" s="60">
        <v>1</v>
      </c>
      <c r="AP5" s="35">
        <v>1</v>
      </c>
    </row>
    <row r="6" spans="1:72">
      <c r="A6" s="1">
        <v>5</v>
      </c>
      <c r="B6" s="1" t="s">
        <v>174</v>
      </c>
      <c r="C6" s="1" t="s">
        <v>157</v>
      </c>
      <c r="D6" s="1">
        <v>172176231</v>
      </c>
      <c r="E6" s="1" t="s">
        <v>175</v>
      </c>
      <c r="F6" s="45" t="s">
        <v>114</v>
      </c>
      <c r="G6" s="1">
        <v>5</v>
      </c>
      <c r="H6" s="1" t="s">
        <v>22</v>
      </c>
      <c r="J6" s="1" t="s">
        <v>182</v>
      </c>
      <c r="K6" s="1" t="s">
        <v>186</v>
      </c>
      <c r="L6" s="1" t="s">
        <v>1</v>
      </c>
      <c r="N6" s="30"/>
      <c r="O6" s="1">
        <v>3</v>
      </c>
      <c r="P6" s="1">
        <v>0</v>
      </c>
      <c r="Q6" s="1">
        <v>2</v>
      </c>
      <c r="R6" s="1">
        <v>0</v>
      </c>
      <c r="S6" s="1" t="s">
        <v>179</v>
      </c>
      <c r="T6" s="1">
        <v>2</v>
      </c>
      <c r="V6" s="30"/>
      <c r="AA6" s="1" t="s">
        <v>183</v>
      </c>
      <c r="AC6" s="31"/>
      <c r="AD6" s="1">
        <v>65</v>
      </c>
      <c r="AE6" s="1">
        <v>88</v>
      </c>
      <c r="AF6" s="35">
        <v>300</v>
      </c>
      <c r="AG6" s="35">
        <v>6</v>
      </c>
      <c r="AH6" s="35">
        <v>29</v>
      </c>
      <c r="AI6" s="1">
        <v>730</v>
      </c>
      <c r="AJ6" s="35" t="s">
        <v>180</v>
      </c>
      <c r="AK6" s="1">
        <v>6</v>
      </c>
      <c r="AM6" s="1">
        <v>3</v>
      </c>
      <c r="AN6" s="43" t="s">
        <v>256</v>
      </c>
      <c r="AO6" s="33" t="s">
        <v>157</v>
      </c>
      <c r="AP6" s="35">
        <v>1</v>
      </c>
    </row>
    <row r="7" spans="1:72">
      <c r="A7" s="36">
        <v>6</v>
      </c>
      <c r="B7" s="36" t="s">
        <v>174</v>
      </c>
      <c r="C7" s="36" t="s">
        <v>179</v>
      </c>
      <c r="D7" s="36">
        <v>135291872</v>
      </c>
      <c r="E7" s="36" t="s">
        <v>191</v>
      </c>
      <c r="F7" s="58" t="s">
        <v>99</v>
      </c>
      <c r="G7" s="36">
        <v>5</v>
      </c>
      <c r="H7" s="36" t="s">
        <v>22</v>
      </c>
      <c r="I7" s="37"/>
      <c r="J7" s="36" t="s">
        <v>182</v>
      </c>
      <c r="K7" s="36" t="s">
        <v>177</v>
      </c>
      <c r="L7" s="36" t="s">
        <v>178</v>
      </c>
      <c r="M7" s="36" t="s">
        <v>22</v>
      </c>
      <c r="N7" s="38"/>
      <c r="O7" s="36">
        <v>0</v>
      </c>
      <c r="P7" s="36">
        <v>3</v>
      </c>
      <c r="Q7" s="36">
        <v>1</v>
      </c>
      <c r="R7" s="36">
        <v>0</v>
      </c>
      <c r="S7" s="36" t="s">
        <v>179</v>
      </c>
      <c r="T7" s="36">
        <v>2</v>
      </c>
      <c r="U7" s="36"/>
      <c r="V7" s="55" t="s">
        <v>183</v>
      </c>
      <c r="W7" s="37"/>
      <c r="X7" s="37"/>
      <c r="Y7" s="37"/>
      <c r="Z7" s="37"/>
      <c r="AA7" s="36" t="s">
        <v>183</v>
      </c>
      <c r="AB7" s="37"/>
      <c r="AC7" s="39"/>
      <c r="AD7" s="36">
        <v>121</v>
      </c>
      <c r="AE7" s="36">
        <v>21.9</v>
      </c>
      <c r="AF7" s="40">
        <v>300</v>
      </c>
      <c r="AG7" s="40">
        <v>6</v>
      </c>
      <c r="AH7" s="40">
        <v>29</v>
      </c>
      <c r="AI7" s="36">
        <v>730</v>
      </c>
      <c r="AJ7" s="40" t="s">
        <v>180</v>
      </c>
      <c r="AK7" s="36">
        <v>20</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281191232</v>
      </c>
      <c r="E8" s="1" t="s">
        <v>206</v>
      </c>
      <c r="F8" s="45" t="s">
        <v>105</v>
      </c>
      <c r="G8" s="1">
        <v>2</v>
      </c>
      <c r="H8" s="1" t="s">
        <v>183</v>
      </c>
      <c r="J8" s="1" t="s">
        <v>232</v>
      </c>
      <c r="K8" s="1" t="s">
        <v>189</v>
      </c>
      <c r="N8" s="30"/>
      <c r="O8" s="1">
        <v>0</v>
      </c>
      <c r="P8" s="1">
        <v>0</v>
      </c>
      <c r="Q8" s="1">
        <v>0</v>
      </c>
      <c r="R8" s="1">
        <v>2</v>
      </c>
      <c r="S8" s="1" t="s">
        <v>179</v>
      </c>
      <c r="T8" s="1">
        <v>0</v>
      </c>
      <c r="V8" s="30"/>
      <c r="X8" s="1" t="s">
        <v>183</v>
      </c>
      <c r="AA8" s="1" t="s">
        <v>183</v>
      </c>
      <c r="AC8" s="31"/>
      <c r="AD8" s="1">
        <v>78</v>
      </c>
      <c r="AF8" s="35">
        <v>300</v>
      </c>
      <c r="AG8" s="35">
        <v>6</v>
      </c>
      <c r="AH8" s="35">
        <v>29</v>
      </c>
      <c r="AI8" s="1">
        <v>8</v>
      </c>
      <c r="AJ8" s="35" t="s">
        <v>180</v>
      </c>
      <c r="AK8" s="1">
        <v>15</v>
      </c>
      <c r="AM8" s="1">
        <v>4</v>
      </c>
      <c r="AN8" s="43" t="s">
        <v>257</v>
      </c>
      <c r="AO8" s="60">
        <v>1</v>
      </c>
      <c r="AP8" s="35">
        <v>1</v>
      </c>
    </row>
    <row r="9" spans="1:72">
      <c r="A9" s="1">
        <v>8</v>
      </c>
      <c r="B9" s="1" t="s">
        <v>174</v>
      </c>
      <c r="C9" s="1" t="s">
        <v>179</v>
      </c>
      <c r="D9" s="1">
        <v>288029947</v>
      </c>
      <c r="E9" s="1" t="s">
        <v>225</v>
      </c>
      <c r="F9" s="45" t="s">
        <v>122</v>
      </c>
      <c r="G9" s="1">
        <v>2</v>
      </c>
      <c r="H9" s="1" t="s">
        <v>183</v>
      </c>
      <c r="J9" s="1" t="s">
        <v>200</v>
      </c>
      <c r="K9" s="1" t="s">
        <v>189</v>
      </c>
      <c r="N9" s="30"/>
      <c r="O9" s="1">
        <v>0</v>
      </c>
      <c r="P9" s="1">
        <v>0</v>
      </c>
      <c r="Q9" s="1">
        <v>1</v>
      </c>
      <c r="R9" s="1">
        <v>1</v>
      </c>
      <c r="S9" s="1" t="s">
        <v>183</v>
      </c>
      <c r="T9" s="1">
        <v>0</v>
      </c>
      <c r="U9" s="1">
        <v>3</v>
      </c>
      <c r="V9" s="30"/>
      <c r="W9" s="1" t="s">
        <v>183</v>
      </c>
      <c r="X9" s="1" t="s">
        <v>183</v>
      </c>
      <c r="AA9" s="1" t="s">
        <v>183</v>
      </c>
      <c r="AC9" s="31"/>
      <c r="AD9" s="1">
        <v>55</v>
      </c>
      <c r="AF9" s="35">
        <v>300</v>
      </c>
      <c r="AG9" s="35">
        <v>6</v>
      </c>
      <c r="AH9" s="35">
        <v>29</v>
      </c>
      <c r="AI9" s="1">
        <v>8</v>
      </c>
      <c r="AJ9" s="35" t="s">
        <v>180</v>
      </c>
      <c r="AK9" s="1">
        <v>21</v>
      </c>
      <c r="AM9" s="1">
        <v>5</v>
      </c>
      <c r="AN9" s="43" t="s">
        <v>258</v>
      </c>
      <c r="AO9" s="60">
        <v>0</v>
      </c>
      <c r="AP9" s="35">
        <v>1</v>
      </c>
    </row>
    <row r="10" spans="1:72">
      <c r="A10" s="36">
        <v>9</v>
      </c>
      <c r="B10" s="36" t="s">
        <v>174</v>
      </c>
      <c r="C10" s="36" t="s">
        <v>179</v>
      </c>
      <c r="D10" s="36">
        <v>281191233</v>
      </c>
      <c r="E10" s="36" t="s">
        <v>206</v>
      </c>
      <c r="F10" s="58" t="s">
        <v>105</v>
      </c>
      <c r="G10" s="36">
        <v>2</v>
      </c>
      <c r="H10" s="36" t="s">
        <v>183</v>
      </c>
      <c r="I10" s="37"/>
      <c r="J10" s="36" t="s">
        <v>232</v>
      </c>
      <c r="K10" s="36" t="s">
        <v>189</v>
      </c>
      <c r="L10" s="37"/>
      <c r="M10" s="37"/>
      <c r="N10" s="38"/>
      <c r="O10" s="36">
        <v>0</v>
      </c>
      <c r="P10" s="36">
        <v>0</v>
      </c>
      <c r="Q10" s="36">
        <v>4</v>
      </c>
      <c r="R10" s="36">
        <v>0</v>
      </c>
      <c r="S10" s="36" t="s">
        <v>179</v>
      </c>
      <c r="T10" s="36">
        <v>1</v>
      </c>
      <c r="U10" s="36">
        <v>3</v>
      </c>
      <c r="V10" s="38"/>
      <c r="W10" s="37"/>
      <c r="X10" s="36" t="s">
        <v>183</v>
      </c>
      <c r="Y10" s="37"/>
      <c r="Z10" s="37"/>
      <c r="AA10" s="36" t="s">
        <v>183</v>
      </c>
      <c r="AB10" s="37"/>
      <c r="AC10" s="39"/>
      <c r="AD10" s="36">
        <v>76</v>
      </c>
      <c r="AE10" s="37"/>
      <c r="AF10" s="40">
        <v>300</v>
      </c>
      <c r="AG10" s="40">
        <v>6</v>
      </c>
      <c r="AH10" s="40">
        <v>29</v>
      </c>
      <c r="AI10" s="36">
        <v>830</v>
      </c>
      <c r="AJ10" s="40" t="s">
        <v>180</v>
      </c>
      <c r="AK10" s="36">
        <v>21</v>
      </c>
      <c r="AL10" s="37"/>
      <c r="AM10" s="37"/>
      <c r="AN10" s="41"/>
      <c r="AO10" s="61">
        <v>1</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288029948</v>
      </c>
      <c r="E11" s="1" t="s">
        <v>259</v>
      </c>
      <c r="F11" s="45" t="s">
        <v>107</v>
      </c>
      <c r="G11" s="1">
        <v>2</v>
      </c>
      <c r="H11" s="1" t="s">
        <v>183</v>
      </c>
      <c r="J11" s="1" t="s">
        <v>232</v>
      </c>
      <c r="K11" s="1" t="s">
        <v>189</v>
      </c>
      <c r="N11" s="30"/>
      <c r="O11" s="1">
        <v>0</v>
      </c>
      <c r="P11" s="1">
        <v>0</v>
      </c>
      <c r="Q11" s="1">
        <v>1</v>
      </c>
      <c r="R11" s="1">
        <v>0</v>
      </c>
      <c r="S11" s="1" t="s">
        <v>179</v>
      </c>
      <c r="T11" s="1">
        <v>0</v>
      </c>
      <c r="U11" s="1">
        <v>3</v>
      </c>
      <c r="V11" s="30"/>
      <c r="X11" s="1" t="s">
        <v>183</v>
      </c>
      <c r="AA11" s="1" t="s">
        <v>183</v>
      </c>
      <c r="AB11" s="1" t="s">
        <v>183</v>
      </c>
      <c r="AC11" s="31"/>
      <c r="AD11" s="1">
        <v>68</v>
      </c>
      <c r="AF11" s="35">
        <v>300</v>
      </c>
      <c r="AG11" s="35">
        <v>6</v>
      </c>
      <c r="AH11" s="35">
        <v>29</v>
      </c>
      <c r="AI11" s="1">
        <v>930</v>
      </c>
      <c r="AJ11" s="35" t="s">
        <v>180</v>
      </c>
      <c r="AK11" s="1">
        <v>21</v>
      </c>
      <c r="AN11" s="32"/>
      <c r="AO11" s="60">
        <v>0</v>
      </c>
      <c r="AP11" s="35">
        <v>1</v>
      </c>
    </row>
    <row r="12" spans="1:72">
      <c r="A12" s="1">
        <v>11</v>
      </c>
      <c r="B12" s="1" t="s">
        <v>174</v>
      </c>
      <c r="C12" s="1" t="s">
        <v>179</v>
      </c>
      <c r="D12" s="46">
        <v>135291874</v>
      </c>
      <c r="E12" s="1" t="s">
        <v>191</v>
      </c>
      <c r="F12" s="45" t="s">
        <v>99</v>
      </c>
      <c r="G12" s="1">
        <v>4</v>
      </c>
      <c r="H12" s="1" t="s">
        <v>183</v>
      </c>
      <c r="J12" s="1" t="s">
        <v>200</v>
      </c>
      <c r="K12" s="1" t="s">
        <v>189</v>
      </c>
      <c r="N12" s="30"/>
      <c r="O12" s="1">
        <v>0</v>
      </c>
      <c r="P12" s="1">
        <v>0</v>
      </c>
      <c r="Q12" s="1">
        <v>0</v>
      </c>
      <c r="R12" s="1">
        <v>3</v>
      </c>
      <c r="S12" s="1" t="s">
        <v>183</v>
      </c>
      <c r="T12" s="1">
        <v>0</v>
      </c>
      <c r="U12" s="1">
        <v>3</v>
      </c>
      <c r="V12" s="30"/>
      <c r="AC12" s="31"/>
      <c r="AF12" s="35">
        <v>300</v>
      </c>
      <c r="AG12" s="35">
        <v>6</v>
      </c>
      <c r="AH12" s="35">
        <v>29</v>
      </c>
      <c r="AI12" s="1">
        <v>1030</v>
      </c>
      <c r="AJ12" s="35" t="s">
        <v>180</v>
      </c>
      <c r="AK12" s="1">
        <v>20</v>
      </c>
      <c r="AN12" s="32"/>
      <c r="AO12" s="60">
        <v>2</v>
      </c>
      <c r="AP12" s="35">
        <v>1</v>
      </c>
    </row>
    <row r="13" spans="1:72">
      <c r="A13" s="36">
        <v>12</v>
      </c>
      <c r="B13" s="36" t="s">
        <v>260</v>
      </c>
      <c r="C13" s="36" t="s">
        <v>179</v>
      </c>
      <c r="D13" s="36">
        <v>281191234</v>
      </c>
      <c r="E13" s="36" t="s">
        <v>206</v>
      </c>
      <c r="F13" s="58" t="s">
        <v>105</v>
      </c>
      <c r="G13" s="36">
        <v>2</v>
      </c>
      <c r="H13" s="36" t="s">
        <v>183</v>
      </c>
      <c r="I13" s="37"/>
      <c r="J13" s="36" t="s">
        <v>232</v>
      </c>
      <c r="K13" s="36" t="s">
        <v>189</v>
      </c>
      <c r="L13" s="37"/>
      <c r="M13" s="37"/>
      <c r="N13" s="38"/>
      <c r="O13" s="36">
        <v>0</v>
      </c>
      <c r="P13" s="36">
        <v>0</v>
      </c>
      <c r="Q13" s="36">
        <v>2</v>
      </c>
      <c r="R13" s="36">
        <v>0</v>
      </c>
      <c r="S13" s="36" t="s">
        <v>179</v>
      </c>
      <c r="T13" s="36">
        <v>1</v>
      </c>
      <c r="U13" s="36">
        <v>3</v>
      </c>
      <c r="V13" s="38"/>
      <c r="W13" s="37"/>
      <c r="X13" s="36" t="s">
        <v>183</v>
      </c>
      <c r="Y13" s="37"/>
      <c r="Z13" s="37"/>
      <c r="AA13" s="36" t="s">
        <v>183</v>
      </c>
      <c r="AB13" s="36" t="s">
        <v>183</v>
      </c>
      <c r="AC13" s="39"/>
      <c r="AD13" s="36">
        <v>74</v>
      </c>
      <c r="AE13" s="36">
        <v>22.4</v>
      </c>
      <c r="AF13" s="40">
        <v>300</v>
      </c>
      <c r="AG13" s="40">
        <v>6</v>
      </c>
      <c r="AH13" s="40">
        <v>29</v>
      </c>
      <c r="AI13" s="36">
        <v>1030</v>
      </c>
      <c r="AJ13" s="40" t="s">
        <v>180</v>
      </c>
      <c r="AK13" s="36">
        <v>15</v>
      </c>
      <c r="AL13" s="37"/>
      <c r="AM13" s="37"/>
      <c r="AN13" s="41"/>
      <c r="AO13" s="61">
        <v>1</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260</v>
      </c>
      <c r="C14" s="1" t="s">
        <v>157</v>
      </c>
      <c r="D14" s="1">
        <v>288029933</v>
      </c>
      <c r="E14" s="46" t="s">
        <v>261</v>
      </c>
      <c r="F14" s="45" t="s">
        <v>68</v>
      </c>
      <c r="G14" s="1">
        <v>2</v>
      </c>
      <c r="H14" s="1" t="s">
        <v>22</v>
      </c>
      <c r="J14" s="1" t="s">
        <v>182</v>
      </c>
      <c r="K14" s="1" t="s">
        <v>186</v>
      </c>
      <c r="L14" s="1" t="s">
        <v>1</v>
      </c>
      <c r="N14" s="30"/>
      <c r="O14" s="1">
        <v>1</v>
      </c>
      <c r="P14" s="1">
        <v>0</v>
      </c>
      <c r="Q14" s="1">
        <v>1</v>
      </c>
      <c r="R14" s="1">
        <v>1</v>
      </c>
      <c r="S14" s="1" t="s">
        <v>179</v>
      </c>
      <c r="T14" s="1">
        <v>1</v>
      </c>
      <c r="V14" s="34" t="s">
        <v>185</v>
      </c>
      <c r="X14" s="1" t="s">
        <v>185</v>
      </c>
      <c r="Y14" s="1" t="s">
        <v>185</v>
      </c>
      <c r="AC14" s="31"/>
      <c r="AD14" s="1">
        <v>67</v>
      </c>
      <c r="AE14" s="1">
        <v>13.4</v>
      </c>
      <c r="AF14" s="35">
        <v>300</v>
      </c>
      <c r="AG14" s="35">
        <v>6</v>
      </c>
      <c r="AH14" s="35">
        <v>29</v>
      </c>
      <c r="AI14" s="1">
        <v>1030</v>
      </c>
      <c r="AJ14" s="35" t="s">
        <v>180</v>
      </c>
      <c r="AK14" s="1">
        <v>21</v>
      </c>
      <c r="AM14" s="1">
        <v>6</v>
      </c>
      <c r="AN14" s="43" t="s">
        <v>262</v>
      </c>
      <c r="AO14" s="33" t="s">
        <v>157</v>
      </c>
      <c r="AP14" s="35">
        <v>1</v>
      </c>
    </row>
    <row r="15" spans="1:72">
      <c r="A15" s="11">
        <v>14</v>
      </c>
      <c r="B15" s="11" t="s">
        <v>174</v>
      </c>
      <c r="C15" s="11" t="s">
        <v>189</v>
      </c>
      <c r="D15" s="12"/>
      <c r="E15" s="11" t="s">
        <v>263</v>
      </c>
      <c r="F15" s="59" t="s">
        <v>110</v>
      </c>
      <c r="G15" s="11">
        <v>1</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v>
      </c>
      <c r="AH15" s="50">
        <v>29</v>
      </c>
      <c r="AI15" s="11">
        <v>1100</v>
      </c>
      <c r="AJ15" s="50" t="s">
        <v>180</v>
      </c>
      <c r="AK15" s="11">
        <v>21</v>
      </c>
      <c r="AL15" s="12"/>
      <c r="AM15" s="12"/>
      <c r="AN15" s="51"/>
      <c r="AO15" s="52" t="s">
        <v>189</v>
      </c>
      <c r="AP15" s="50">
        <v>1</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207</v>
      </c>
      <c r="C16" s="1" t="s">
        <v>157</v>
      </c>
      <c r="D16" s="1">
        <v>221115696</v>
      </c>
      <c r="E16" s="1" t="s">
        <v>181</v>
      </c>
      <c r="F16" s="45" t="s">
        <v>115</v>
      </c>
      <c r="G16" s="1">
        <v>1</v>
      </c>
      <c r="J16" s="1" t="s">
        <v>264</v>
      </c>
      <c r="K16" s="1" t="s">
        <v>177</v>
      </c>
      <c r="L16" s="1" t="s">
        <v>178</v>
      </c>
      <c r="N16" s="30"/>
      <c r="P16" s="1">
        <v>3</v>
      </c>
      <c r="Q16" s="1">
        <v>0</v>
      </c>
      <c r="R16" s="1">
        <v>0</v>
      </c>
      <c r="S16" s="1" t="s">
        <v>155</v>
      </c>
      <c r="V16" s="30"/>
      <c r="X16" s="1" t="s">
        <v>186</v>
      </c>
      <c r="AC16" s="31"/>
      <c r="AG16" s="35">
        <v>6</v>
      </c>
      <c r="AH16" s="35">
        <v>29</v>
      </c>
      <c r="AI16" s="1">
        <v>640</v>
      </c>
      <c r="AJ16" s="35" t="s">
        <v>180</v>
      </c>
      <c r="AK16" s="1">
        <v>2</v>
      </c>
      <c r="AN16" s="32"/>
      <c r="AO16" s="60" t="s">
        <v>157</v>
      </c>
      <c r="AP16" s="1">
        <v>2</v>
      </c>
    </row>
    <row r="17" spans="1:72">
      <c r="A17" s="1">
        <v>2</v>
      </c>
      <c r="B17" s="1" t="s">
        <v>207</v>
      </c>
      <c r="C17" s="1" t="s">
        <v>157</v>
      </c>
      <c r="D17" s="1">
        <v>283105290</v>
      </c>
      <c r="E17" s="1" t="s">
        <v>194</v>
      </c>
      <c r="F17" s="45" t="s">
        <v>98</v>
      </c>
      <c r="G17" s="1">
        <v>1</v>
      </c>
      <c r="J17" s="1" t="s">
        <v>176</v>
      </c>
      <c r="K17" s="1" t="s">
        <v>177</v>
      </c>
      <c r="L17" s="1" t="s">
        <v>178</v>
      </c>
      <c r="N17" s="30"/>
      <c r="P17" s="1">
        <v>3</v>
      </c>
      <c r="Q17" s="1">
        <v>1</v>
      </c>
      <c r="R17" s="1">
        <v>0</v>
      </c>
      <c r="S17" s="1" t="s">
        <v>179</v>
      </c>
      <c r="T17" s="1">
        <v>3</v>
      </c>
      <c r="V17" s="30"/>
      <c r="AA17" s="1" t="s">
        <v>189</v>
      </c>
      <c r="AC17" s="31"/>
      <c r="AD17" s="1">
        <v>91</v>
      </c>
      <c r="AE17" s="1">
        <v>29.4</v>
      </c>
      <c r="AG17" s="35">
        <v>6</v>
      </c>
      <c r="AH17" s="35">
        <v>29</v>
      </c>
      <c r="AI17" s="1">
        <v>640</v>
      </c>
      <c r="AJ17" s="35" t="s">
        <v>180</v>
      </c>
      <c r="AK17" s="1">
        <v>14</v>
      </c>
      <c r="AM17" s="1">
        <v>1</v>
      </c>
      <c r="AN17" s="43" t="s">
        <v>265</v>
      </c>
      <c r="AO17" s="60" t="s">
        <v>157</v>
      </c>
      <c r="AP17" s="35">
        <v>2</v>
      </c>
    </row>
    <row r="18" spans="1:72">
      <c r="A18" s="36">
        <v>3</v>
      </c>
      <c r="B18" s="36" t="s">
        <v>207</v>
      </c>
      <c r="C18" s="36" t="s">
        <v>157</v>
      </c>
      <c r="D18" s="36">
        <v>283105227</v>
      </c>
      <c r="E18" s="36" t="s">
        <v>194</v>
      </c>
      <c r="F18" s="58" t="s">
        <v>98</v>
      </c>
      <c r="G18" s="36">
        <v>1</v>
      </c>
      <c r="H18" s="37"/>
      <c r="I18" s="37"/>
      <c r="J18" s="36" t="s">
        <v>176</v>
      </c>
      <c r="K18" s="36" t="s">
        <v>186</v>
      </c>
      <c r="L18" s="36" t="s">
        <v>1</v>
      </c>
      <c r="M18" s="37"/>
      <c r="N18" s="38"/>
      <c r="O18" s="36">
        <v>3</v>
      </c>
      <c r="P18" s="36">
        <v>0</v>
      </c>
      <c r="Q18" s="36">
        <v>0</v>
      </c>
      <c r="R18" s="36">
        <v>0</v>
      </c>
      <c r="S18" s="36" t="s">
        <v>179</v>
      </c>
      <c r="T18" s="37"/>
      <c r="U18" s="37"/>
      <c r="V18" s="38"/>
      <c r="W18" s="37"/>
      <c r="X18" s="36" t="s">
        <v>178</v>
      </c>
      <c r="Y18" s="37"/>
      <c r="Z18" s="37"/>
      <c r="AA18" s="36" t="s">
        <v>178</v>
      </c>
      <c r="AB18" s="37"/>
      <c r="AC18" s="39"/>
      <c r="AD18" s="36">
        <v>95</v>
      </c>
      <c r="AE18" s="36">
        <v>28.3</v>
      </c>
      <c r="AF18" s="37"/>
      <c r="AG18" s="40">
        <v>6</v>
      </c>
      <c r="AH18" s="40">
        <v>29</v>
      </c>
      <c r="AI18" s="36">
        <v>640</v>
      </c>
      <c r="AJ18" s="40" t="s">
        <v>180</v>
      </c>
      <c r="AK18" s="36">
        <v>8</v>
      </c>
      <c r="AL18" s="37"/>
      <c r="AM18" s="36">
        <v>2</v>
      </c>
      <c r="AN18" s="44" t="s">
        <v>266</v>
      </c>
      <c r="AO18" s="61" t="s">
        <v>157</v>
      </c>
      <c r="AP18" s="40">
        <v>2</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207</v>
      </c>
      <c r="C19" s="1" t="s">
        <v>179</v>
      </c>
      <c r="D19" s="1">
        <v>172176240</v>
      </c>
      <c r="E19" s="1" t="s">
        <v>248</v>
      </c>
      <c r="F19" s="45" t="s">
        <v>102</v>
      </c>
      <c r="G19" s="1">
        <v>5</v>
      </c>
      <c r="J19" s="1" t="s">
        <v>182</v>
      </c>
      <c r="K19" s="1" t="s">
        <v>186</v>
      </c>
      <c r="L19" s="1" t="s">
        <v>1</v>
      </c>
      <c r="N19" s="30"/>
      <c r="O19" s="1">
        <v>2</v>
      </c>
      <c r="P19" s="1">
        <v>0</v>
      </c>
      <c r="Q19" s="1">
        <v>0</v>
      </c>
      <c r="R19" s="1">
        <v>0</v>
      </c>
      <c r="S19" s="1" t="s">
        <v>179</v>
      </c>
      <c r="T19" s="1">
        <v>3</v>
      </c>
      <c r="V19" s="30"/>
      <c r="AC19" s="31"/>
      <c r="AD19" s="1">
        <v>90</v>
      </c>
      <c r="AG19" s="35">
        <v>6</v>
      </c>
      <c r="AH19" s="35">
        <v>29</v>
      </c>
      <c r="AI19" s="1">
        <v>7</v>
      </c>
      <c r="AJ19" s="35" t="s">
        <v>180</v>
      </c>
      <c r="AK19" s="1">
        <v>21</v>
      </c>
      <c r="AM19" s="1">
        <v>3</v>
      </c>
      <c r="AN19" s="43" t="s">
        <v>267</v>
      </c>
      <c r="AO19" s="33" t="s">
        <v>203</v>
      </c>
      <c r="AP19" s="35">
        <v>2</v>
      </c>
    </row>
    <row r="20" spans="1:72">
      <c r="A20" s="1">
        <v>5</v>
      </c>
      <c r="B20" s="1" t="s">
        <v>207</v>
      </c>
      <c r="C20" s="1" t="s">
        <v>179</v>
      </c>
      <c r="D20" s="1">
        <v>135291873</v>
      </c>
      <c r="E20" s="1" t="s">
        <v>181</v>
      </c>
      <c r="F20" s="45" t="s">
        <v>115</v>
      </c>
      <c r="G20" s="1">
        <v>2</v>
      </c>
      <c r="J20" s="1" t="s">
        <v>232</v>
      </c>
      <c r="K20" s="1" t="s">
        <v>189</v>
      </c>
      <c r="N20" s="30"/>
      <c r="O20" s="1">
        <v>0</v>
      </c>
      <c r="P20" s="1">
        <v>0</v>
      </c>
      <c r="Q20" s="1">
        <v>0</v>
      </c>
      <c r="R20" s="1">
        <v>0</v>
      </c>
      <c r="S20" s="1" t="s">
        <v>179</v>
      </c>
      <c r="T20" s="1">
        <v>0</v>
      </c>
      <c r="U20" s="1">
        <v>3</v>
      </c>
      <c r="V20" s="34" t="s">
        <v>183</v>
      </c>
      <c r="AA20" s="1" t="s">
        <v>183</v>
      </c>
      <c r="AC20" s="31"/>
      <c r="AD20" s="1">
        <v>78</v>
      </c>
      <c r="AE20" s="1">
        <v>38.299999999999997</v>
      </c>
      <c r="AG20" s="35">
        <v>6</v>
      </c>
      <c r="AH20" s="35">
        <v>29</v>
      </c>
      <c r="AI20" s="1">
        <v>8</v>
      </c>
      <c r="AJ20" s="35" t="s">
        <v>180</v>
      </c>
      <c r="AK20" s="1">
        <v>5</v>
      </c>
      <c r="AM20" s="1">
        <v>4</v>
      </c>
      <c r="AN20" s="43" t="s">
        <v>268</v>
      </c>
      <c r="AO20" s="60">
        <v>2</v>
      </c>
      <c r="AP20" s="35">
        <v>2</v>
      </c>
    </row>
    <row r="21" spans="1:72">
      <c r="A21" s="36">
        <v>6</v>
      </c>
      <c r="B21" s="36" t="s">
        <v>207</v>
      </c>
      <c r="C21" s="36" t="s">
        <v>189</v>
      </c>
      <c r="D21" s="37"/>
      <c r="E21" s="36" t="s">
        <v>192</v>
      </c>
      <c r="F21" s="58" t="s">
        <v>37</v>
      </c>
      <c r="G21" s="36">
        <v>5</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v>
      </c>
      <c r="AH21" s="40">
        <v>29</v>
      </c>
      <c r="AI21" s="36">
        <v>8</v>
      </c>
      <c r="AJ21" s="40" t="s">
        <v>180</v>
      </c>
      <c r="AK21" s="36">
        <v>21</v>
      </c>
      <c r="AL21" s="37"/>
      <c r="AM21" s="36">
        <v>5</v>
      </c>
      <c r="AN21" s="44" t="s">
        <v>269</v>
      </c>
      <c r="AO21" s="61" t="s">
        <v>189</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7</v>
      </c>
      <c r="B22" s="1" t="s">
        <v>207</v>
      </c>
      <c r="C22" s="1" t="s">
        <v>157</v>
      </c>
      <c r="D22" s="1">
        <v>262127373</v>
      </c>
      <c r="E22" s="1" t="s">
        <v>206</v>
      </c>
      <c r="F22" s="45" t="s">
        <v>105</v>
      </c>
      <c r="G22" s="1">
        <v>6</v>
      </c>
      <c r="J22" s="1" t="s">
        <v>188</v>
      </c>
      <c r="K22" s="1" t="s">
        <v>186</v>
      </c>
      <c r="L22" s="1" t="s">
        <v>1</v>
      </c>
      <c r="N22" s="30"/>
      <c r="O22" s="1">
        <v>3</v>
      </c>
      <c r="P22" s="1">
        <v>0</v>
      </c>
      <c r="Q22" s="1">
        <v>1</v>
      </c>
      <c r="R22" s="1">
        <v>0</v>
      </c>
      <c r="S22" s="1" t="s">
        <v>179</v>
      </c>
      <c r="T22" s="1">
        <v>1</v>
      </c>
      <c r="V22" s="30"/>
      <c r="W22" s="1" t="s">
        <v>178</v>
      </c>
      <c r="X22" s="1" t="s">
        <v>186</v>
      </c>
      <c r="AA22" s="1" t="s">
        <v>178</v>
      </c>
      <c r="AB22" s="1" t="s">
        <v>178</v>
      </c>
      <c r="AC22" s="31"/>
      <c r="AD22" s="1">
        <v>70</v>
      </c>
      <c r="AE22" s="1">
        <v>23.8</v>
      </c>
      <c r="AG22" s="35">
        <v>6</v>
      </c>
      <c r="AH22" s="35">
        <v>29</v>
      </c>
      <c r="AI22" s="1">
        <v>830</v>
      </c>
      <c r="AJ22" s="35" t="s">
        <v>180</v>
      </c>
      <c r="AK22" s="1">
        <v>21</v>
      </c>
      <c r="AN22" s="32"/>
      <c r="AO22" s="60" t="s">
        <v>157</v>
      </c>
      <c r="AP22" s="35">
        <v>2</v>
      </c>
    </row>
    <row r="23" spans="1:72">
      <c r="A23" s="1">
        <v>8</v>
      </c>
      <c r="B23" s="1" t="s">
        <v>207</v>
      </c>
      <c r="C23" s="1" t="s">
        <v>179</v>
      </c>
      <c r="D23" s="1">
        <v>288029949</v>
      </c>
      <c r="E23" s="1" t="s">
        <v>199</v>
      </c>
      <c r="F23" s="45" t="s">
        <v>111</v>
      </c>
      <c r="G23" s="1">
        <v>2</v>
      </c>
      <c r="J23" s="1" t="s">
        <v>232</v>
      </c>
      <c r="K23" s="1" t="s">
        <v>189</v>
      </c>
      <c r="N23" s="34">
        <v>4</v>
      </c>
      <c r="O23" s="1">
        <v>0</v>
      </c>
      <c r="P23" s="1">
        <v>0</v>
      </c>
      <c r="Q23" s="1">
        <v>0</v>
      </c>
      <c r="R23" s="1">
        <v>0</v>
      </c>
      <c r="S23" s="1" t="s">
        <v>179</v>
      </c>
      <c r="T23" s="1">
        <v>1</v>
      </c>
      <c r="U23" s="1">
        <v>3</v>
      </c>
      <c r="V23" s="30"/>
      <c r="AC23" s="31"/>
      <c r="AD23" s="1">
        <v>73</v>
      </c>
      <c r="AE23" s="1">
        <v>17.8</v>
      </c>
      <c r="AG23" s="35">
        <v>6</v>
      </c>
      <c r="AH23" s="35">
        <v>29</v>
      </c>
      <c r="AI23" s="1">
        <v>1030</v>
      </c>
      <c r="AJ23" s="35" t="s">
        <v>180</v>
      </c>
      <c r="AK23" s="1">
        <v>5</v>
      </c>
      <c r="AN23" s="32"/>
      <c r="AO23" s="60">
        <v>0</v>
      </c>
      <c r="AP23" s="35">
        <v>2</v>
      </c>
    </row>
    <row r="24" spans="1:72">
      <c r="A24" s="36">
        <v>9</v>
      </c>
      <c r="B24" s="36" t="s">
        <v>207</v>
      </c>
      <c r="C24" s="36" t="s">
        <v>179</v>
      </c>
      <c r="D24" s="36">
        <v>288029951</v>
      </c>
      <c r="E24" s="36" t="s">
        <v>238</v>
      </c>
      <c r="F24" s="58" t="s">
        <v>87</v>
      </c>
      <c r="G24" s="36">
        <v>2</v>
      </c>
      <c r="H24" s="37"/>
      <c r="I24" s="37"/>
      <c r="J24" s="36" t="s">
        <v>232</v>
      </c>
      <c r="K24" s="36" t="s">
        <v>189</v>
      </c>
      <c r="L24" s="37"/>
      <c r="M24" s="37"/>
      <c r="N24" s="38"/>
      <c r="O24" s="36">
        <v>0</v>
      </c>
      <c r="P24" s="36">
        <v>0</v>
      </c>
      <c r="Q24" s="36">
        <v>1</v>
      </c>
      <c r="R24" s="36">
        <v>0</v>
      </c>
      <c r="S24" s="36" t="s">
        <v>179</v>
      </c>
      <c r="T24" s="36">
        <v>0</v>
      </c>
      <c r="U24" s="36">
        <v>3</v>
      </c>
      <c r="V24" s="38"/>
      <c r="W24" s="37"/>
      <c r="X24" s="37"/>
      <c r="Y24" s="37"/>
      <c r="Z24" s="37"/>
      <c r="AA24" s="36" t="s">
        <v>183</v>
      </c>
      <c r="AB24" s="37"/>
      <c r="AC24" s="39"/>
      <c r="AD24" s="36">
        <v>58</v>
      </c>
      <c r="AE24" s="36">
        <v>8.5</v>
      </c>
      <c r="AF24" s="37"/>
      <c r="AG24" s="40">
        <v>6</v>
      </c>
      <c r="AH24" s="40">
        <v>29</v>
      </c>
      <c r="AI24" s="36">
        <v>1030</v>
      </c>
      <c r="AJ24" s="40" t="s">
        <v>180</v>
      </c>
      <c r="AK24" s="36">
        <v>20</v>
      </c>
      <c r="AL24" s="37"/>
      <c r="AM24" s="37"/>
      <c r="AN24" s="41"/>
      <c r="AO24" s="61">
        <v>0</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1">
        <v>10</v>
      </c>
      <c r="B25" s="11" t="s">
        <v>207</v>
      </c>
      <c r="C25" s="11" t="s">
        <v>179</v>
      </c>
      <c r="D25" s="11">
        <v>288029953</v>
      </c>
      <c r="E25" s="11" t="s">
        <v>204</v>
      </c>
      <c r="F25" s="59" t="s">
        <v>88</v>
      </c>
      <c r="G25" s="11">
        <v>1</v>
      </c>
      <c r="H25" s="12"/>
      <c r="I25" s="12"/>
      <c r="J25" s="11" t="s">
        <v>176</v>
      </c>
      <c r="K25" s="11" t="s">
        <v>177</v>
      </c>
      <c r="L25" s="11" t="s">
        <v>1</v>
      </c>
      <c r="M25" s="12"/>
      <c r="N25" s="56">
        <v>6</v>
      </c>
      <c r="O25" s="11">
        <v>0</v>
      </c>
      <c r="P25" s="11">
        <v>2</v>
      </c>
      <c r="Q25" s="11">
        <v>1</v>
      </c>
      <c r="R25" s="11">
        <v>0</v>
      </c>
      <c r="S25" s="11" t="s">
        <v>155</v>
      </c>
      <c r="T25" s="11">
        <v>2</v>
      </c>
      <c r="U25" s="11">
        <v>0</v>
      </c>
      <c r="V25" s="48"/>
      <c r="W25" s="12"/>
      <c r="X25" s="12"/>
      <c r="Y25" s="11" t="s">
        <v>186</v>
      </c>
      <c r="Z25" s="12"/>
      <c r="AA25" s="11" t="s">
        <v>186</v>
      </c>
      <c r="AB25" s="12"/>
      <c r="AC25" s="49"/>
      <c r="AD25" s="11">
        <v>57</v>
      </c>
      <c r="AE25" s="11">
        <v>8.4</v>
      </c>
      <c r="AF25" s="12"/>
      <c r="AG25" s="50">
        <v>6</v>
      </c>
      <c r="AH25" s="50">
        <v>29</v>
      </c>
      <c r="AI25" s="11">
        <v>1030</v>
      </c>
      <c r="AJ25" s="50" t="s">
        <v>180</v>
      </c>
      <c r="AK25" s="11">
        <v>15</v>
      </c>
      <c r="AL25" s="12"/>
      <c r="AM25" s="12"/>
      <c r="AN25" s="51"/>
      <c r="AO25" s="62">
        <v>0</v>
      </c>
      <c r="AP25" s="50">
        <v>2</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c r="A26" s="1">
        <v>1</v>
      </c>
      <c r="B26" s="1" t="s">
        <v>227</v>
      </c>
      <c r="C26" s="1" t="s">
        <v>179</v>
      </c>
      <c r="D26" s="1">
        <v>290077838</v>
      </c>
      <c r="E26" s="1" t="s">
        <v>225</v>
      </c>
      <c r="F26" s="45" t="s">
        <v>122</v>
      </c>
      <c r="G26" s="1">
        <v>2</v>
      </c>
      <c r="H26" s="1" t="s">
        <v>220</v>
      </c>
      <c r="I26" s="1" t="s">
        <v>22</v>
      </c>
      <c r="J26" s="1" t="s">
        <v>182</v>
      </c>
      <c r="K26" s="1" t="s">
        <v>189</v>
      </c>
      <c r="N26" s="34">
        <v>3</v>
      </c>
      <c r="O26" s="1">
        <v>0</v>
      </c>
      <c r="P26" s="1">
        <v>0</v>
      </c>
      <c r="Q26" s="1">
        <v>3</v>
      </c>
      <c r="R26" s="1">
        <v>0</v>
      </c>
      <c r="S26" s="1" t="s">
        <v>179</v>
      </c>
      <c r="T26" s="1">
        <v>2</v>
      </c>
      <c r="U26" s="1">
        <v>3</v>
      </c>
      <c r="V26" s="30"/>
      <c r="AC26" s="31"/>
      <c r="AD26" s="1">
        <v>52</v>
      </c>
      <c r="AE26" s="1">
        <v>8.9</v>
      </c>
      <c r="AF26" s="1">
        <v>300</v>
      </c>
      <c r="AG26" s="35">
        <v>6</v>
      </c>
      <c r="AH26" s="35">
        <v>29</v>
      </c>
      <c r="AI26" s="1">
        <v>630</v>
      </c>
      <c r="AJ26" s="35" t="s">
        <v>180</v>
      </c>
      <c r="AK26" s="1">
        <v>21</v>
      </c>
      <c r="AN26" s="32"/>
      <c r="AO26" s="60" t="s">
        <v>215</v>
      </c>
      <c r="AP26" s="1">
        <v>3</v>
      </c>
    </row>
    <row r="27" spans="1:72">
      <c r="A27" s="1">
        <v>2</v>
      </c>
      <c r="B27" s="1" t="s">
        <v>227</v>
      </c>
      <c r="C27" s="1" t="s">
        <v>157</v>
      </c>
      <c r="D27" s="1">
        <v>178168889</v>
      </c>
      <c r="E27" s="1" t="s">
        <v>181</v>
      </c>
      <c r="F27" s="45" t="s">
        <v>115</v>
      </c>
      <c r="G27" s="1">
        <v>1</v>
      </c>
      <c r="H27" s="1" t="s">
        <v>22</v>
      </c>
      <c r="I27" s="1" t="s">
        <v>1</v>
      </c>
      <c r="J27" s="1" t="s">
        <v>176</v>
      </c>
      <c r="K27" s="1" t="s">
        <v>186</v>
      </c>
      <c r="L27" s="1" t="s">
        <v>1</v>
      </c>
      <c r="M27" s="1" t="s">
        <v>22</v>
      </c>
      <c r="N27" s="34">
        <v>6</v>
      </c>
      <c r="O27" s="1">
        <v>3</v>
      </c>
      <c r="P27" s="1">
        <v>0</v>
      </c>
      <c r="Q27" s="1">
        <v>1</v>
      </c>
      <c r="R27" s="1">
        <v>0</v>
      </c>
      <c r="S27" s="1" t="s">
        <v>270</v>
      </c>
      <c r="T27" s="1">
        <v>3</v>
      </c>
      <c r="V27" s="30"/>
      <c r="AC27" s="31"/>
      <c r="AD27" s="1">
        <v>85</v>
      </c>
      <c r="AE27" s="1">
        <v>37.9</v>
      </c>
      <c r="AF27" s="35">
        <v>300</v>
      </c>
      <c r="AG27" s="35">
        <v>6</v>
      </c>
      <c r="AH27" s="35">
        <v>29</v>
      </c>
      <c r="AI27" s="1">
        <v>630</v>
      </c>
      <c r="AJ27" s="35" t="s">
        <v>180</v>
      </c>
      <c r="AK27" s="1">
        <v>7</v>
      </c>
      <c r="AM27" s="1">
        <v>1</v>
      </c>
      <c r="AN27" s="43" t="s">
        <v>271</v>
      </c>
      <c r="AO27" s="60" t="s">
        <v>157</v>
      </c>
      <c r="AP27" s="35">
        <v>3</v>
      </c>
    </row>
    <row r="28" spans="1:72">
      <c r="A28" s="36">
        <v>3</v>
      </c>
      <c r="B28" s="36" t="s">
        <v>227</v>
      </c>
      <c r="C28" s="36" t="s">
        <v>179</v>
      </c>
      <c r="D28" s="36">
        <v>288029945</v>
      </c>
      <c r="E28" s="36" t="s">
        <v>199</v>
      </c>
      <c r="F28" s="58" t="s">
        <v>111</v>
      </c>
      <c r="G28" s="36">
        <v>2</v>
      </c>
      <c r="H28" s="36" t="s">
        <v>22</v>
      </c>
      <c r="I28" s="36" t="s">
        <v>155</v>
      </c>
      <c r="J28" s="36" t="s">
        <v>264</v>
      </c>
      <c r="K28" s="36" t="s">
        <v>189</v>
      </c>
      <c r="L28" s="37"/>
      <c r="M28" s="37"/>
      <c r="N28" s="55">
        <v>3</v>
      </c>
      <c r="O28" s="36">
        <v>0</v>
      </c>
      <c r="P28" s="36">
        <v>0</v>
      </c>
      <c r="Q28" s="36">
        <v>1</v>
      </c>
      <c r="R28" s="36">
        <v>1</v>
      </c>
      <c r="S28" s="36" t="s">
        <v>179</v>
      </c>
      <c r="T28" s="36">
        <v>1</v>
      </c>
      <c r="U28" s="36">
        <v>3</v>
      </c>
      <c r="V28" s="38"/>
      <c r="W28" s="37"/>
      <c r="X28" s="37"/>
      <c r="Y28" s="37"/>
      <c r="Z28" s="37"/>
      <c r="AA28" s="37"/>
      <c r="AB28" s="37"/>
      <c r="AC28" s="39"/>
      <c r="AD28" s="36">
        <v>76</v>
      </c>
      <c r="AE28" s="36">
        <v>17.7</v>
      </c>
      <c r="AF28" s="40">
        <v>300</v>
      </c>
      <c r="AG28" s="40">
        <v>6</v>
      </c>
      <c r="AH28" s="40">
        <v>29</v>
      </c>
      <c r="AI28" s="36">
        <v>730</v>
      </c>
      <c r="AJ28" s="40" t="s">
        <v>180</v>
      </c>
      <c r="AK28" s="36">
        <v>9</v>
      </c>
      <c r="AL28" s="37"/>
      <c r="AM28" s="36">
        <v>2</v>
      </c>
      <c r="AN28" s="44" t="s">
        <v>272</v>
      </c>
      <c r="AO28" s="61">
        <v>0</v>
      </c>
      <c r="AP28" s="40">
        <v>3</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4</v>
      </c>
      <c r="B29" s="1" t="s">
        <v>227</v>
      </c>
      <c r="C29" s="1" t="s">
        <v>179</v>
      </c>
      <c r="D29" s="1">
        <v>281191231</v>
      </c>
      <c r="E29" s="1" t="s">
        <v>273</v>
      </c>
      <c r="F29" s="45" t="s">
        <v>274</v>
      </c>
      <c r="G29" s="1">
        <v>1</v>
      </c>
      <c r="H29" s="1" t="s">
        <v>155</v>
      </c>
      <c r="I29" s="1" t="s">
        <v>1</v>
      </c>
      <c r="J29" s="1" t="s">
        <v>176</v>
      </c>
      <c r="K29" s="1" t="s">
        <v>186</v>
      </c>
      <c r="L29" s="1" t="s">
        <v>1</v>
      </c>
      <c r="M29" s="1" t="s">
        <v>22</v>
      </c>
      <c r="N29" s="34">
        <v>6</v>
      </c>
      <c r="O29" s="1">
        <v>3</v>
      </c>
      <c r="P29" s="1">
        <v>0</v>
      </c>
      <c r="Q29" s="1">
        <v>0</v>
      </c>
      <c r="R29" s="1">
        <v>0</v>
      </c>
      <c r="S29" s="1" t="s">
        <v>179</v>
      </c>
      <c r="T29" s="1">
        <v>3</v>
      </c>
      <c r="V29" s="30"/>
      <c r="AC29" s="31"/>
      <c r="AD29" s="1">
        <v>65</v>
      </c>
      <c r="AE29" s="1">
        <v>16.8</v>
      </c>
      <c r="AF29" s="35">
        <v>300</v>
      </c>
      <c r="AG29" s="35">
        <v>6</v>
      </c>
      <c r="AH29" s="35">
        <v>29</v>
      </c>
      <c r="AI29" s="1">
        <v>730</v>
      </c>
      <c r="AJ29" s="35" t="s">
        <v>180</v>
      </c>
      <c r="AK29" s="1">
        <v>21</v>
      </c>
      <c r="AN29" s="32"/>
      <c r="AO29" s="60">
        <v>1</v>
      </c>
      <c r="AP29" s="35">
        <v>3</v>
      </c>
    </row>
    <row r="30" spans="1:72">
      <c r="A30" s="1">
        <v>5</v>
      </c>
      <c r="B30" s="1" t="s">
        <v>227</v>
      </c>
      <c r="C30" s="1" t="s">
        <v>179</v>
      </c>
      <c r="D30" s="1">
        <v>172176242</v>
      </c>
      <c r="E30" s="1" t="s">
        <v>248</v>
      </c>
      <c r="F30" s="45" t="s">
        <v>102</v>
      </c>
      <c r="G30" s="1">
        <v>2</v>
      </c>
      <c r="H30" s="1" t="s">
        <v>220</v>
      </c>
      <c r="I30" s="1" t="s">
        <v>22</v>
      </c>
      <c r="J30" s="1" t="s">
        <v>232</v>
      </c>
      <c r="K30" s="1" t="s">
        <v>189</v>
      </c>
      <c r="N30" s="34">
        <v>3</v>
      </c>
      <c r="O30" s="1">
        <v>0</v>
      </c>
      <c r="P30" s="1">
        <v>0</v>
      </c>
      <c r="Q30" s="1">
        <v>0</v>
      </c>
      <c r="R30" s="1">
        <v>0</v>
      </c>
      <c r="S30" s="1" t="s">
        <v>155</v>
      </c>
      <c r="T30" s="1">
        <v>0</v>
      </c>
      <c r="U30" s="1">
        <v>3</v>
      </c>
      <c r="V30" s="30"/>
      <c r="AC30" s="31"/>
      <c r="AD30" s="1">
        <v>80</v>
      </c>
      <c r="AE30" s="1">
        <v>29.9</v>
      </c>
      <c r="AF30" s="35">
        <v>300</v>
      </c>
      <c r="AG30" s="35">
        <v>6</v>
      </c>
      <c r="AH30" s="35">
        <v>29</v>
      </c>
      <c r="AI30" s="1">
        <v>830</v>
      </c>
      <c r="AJ30" s="35" t="s">
        <v>180</v>
      </c>
      <c r="AK30" s="1">
        <v>15</v>
      </c>
      <c r="AM30" s="1">
        <v>3</v>
      </c>
      <c r="AN30" s="43" t="s">
        <v>275</v>
      </c>
      <c r="AO30" s="60" t="s">
        <v>203</v>
      </c>
      <c r="AP30" s="35">
        <v>3</v>
      </c>
    </row>
    <row r="31" spans="1:72">
      <c r="A31" s="36">
        <v>6</v>
      </c>
      <c r="B31" s="36" t="s">
        <v>227</v>
      </c>
      <c r="C31" s="36" t="s">
        <v>157</v>
      </c>
      <c r="D31" s="36">
        <v>172176232</v>
      </c>
      <c r="E31" s="36" t="s">
        <v>175</v>
      </c>
      <c r="F31" s="58" t="s">
        <v>114</v>
      </c>
      <c r="G31" s="36">
        <v>1</v>
      </c>
      <c r="H31" s="36" t="s">
        <v>22</v>
      </c>
      <c r="I31" s="36" t="s">
        <v>155</v>
      </c>
      <c r="J31" s="36" t="s">
        <v>176</v>
      </c>
      <c r="K31" s="36" t="s">
        <v>189</v>
      </c>
      <c r="L31" s="37"/>
      <c r="M31" s="37"/>
      <c r="N31" s="55">
        <v>5</v>
      </c>
      <c r="O31" s="36">
        <v>0</v>
      </c>
      <c r="P31" s="36">
        <v>0</v>
      </c>
      <c r="Q31" s="36">
        <v>0</v>
      </c>
      <c r="R31" s="36">
        <v>0</v>
      </c>
      <c r="S31" s="36" t="s">
        <v>179</v>
      </c>
      <c r="T31" s="36">
        <v>3</v>
      </c>
      <c r="U31" s="37"/>
      <c r="V31" s="38"/>
      <c r="W31" s="37"/>
      <c r="X31" s="37"/>
      <c r="Y31" s="37"/>
      <c r="Z31" s="37"/>
      <c r="AA31" s="37"/>
      <c r="AB31" s="37"/>
      <c r="AC31" s="39"/>
      <c r="AD31" s="36">
        <v>67</v>
      </c>
      <c r="AE31" s="36">
        <v>24.8</v>
      </c>
      <c r="AF31" s="40">
        <v>300</v>
      </c>
      <c r="AG31" s="40">
        <v>6</v>
      </c>
      <c r="AH31" s="40">
        <v>29</v>
      </c>
      <c r="AI31" s="36">
        <v>9</v>
      </c>
      <c r="AJ31" s="40" t="s">
        <v>180</v>
      </c>
      <c r="AK31" s="36">
        <v>8</v>
      </c>
      <c r="AL31" s="37"/>
      <c r="AM31" s="36">
        <v>4</v>
      </c>
      <c r="AN31" s="44" t="s">
        <v>276</v>
      </c>
      <c r="AO31" s="61" t="s">
        <v>157</v>
      </c>
      <c r="AP31" s="40">
        <v>3</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7</v>
      </c>
      <c r="B32" s="1" t="s">
        <v>227</v>
      </c>
      <c r="C32" s="1" t="s">
        <v>179</v>
      </c>
      <c r="D32" s="1">
        <v>288029952</v>
      </c>
      <c r="E32" s="1" t="s">
        <v>238</v>
      </c>
      <c r="F32" s="45" t="s">
        <v>87</v>
      </c>
      <c r="G32" s="1">
        <v>2</v>
      </c>
      <c r="H32" s="1" t="s">
        <v>155</v>
      </c>
      <c r="I32" s="1" t="s">
        <v>22</v>
      </c>
      <c r="J32" s="1" t="s">
        <v>176</v>
      </c>
      <c r="K32" s="1" t="s">
        <v>189</v>
      </c>
      <c r="N32" s="34">
        <v>3</v>
      </c>
      <c r="O32" s="1">
        <v>0</v>
      </c>
      <c r="P32" s="1">
        <v>0</v>
      </c>
      <c r="Q32" s="1">
        <v>0</v>
      </c>
      <c r="R32" s="1">
        <v>0</v>
      </c>
      <c r="S32" s="1" t="s">
        <v>155</v>
      </c>
      <c r="T32" s="1">
        <v>2</v>
      </c>
      <c r="V32" s="30"/>
      <c r="AC32" s="31"/>
      <c r="AD32" s="1">
        <v>58</v>
      </c>
      <c r="AE32" s="1">
        <v>10.8</v>
      </c>
      <c r="AF32" s="35">
        <v>300</v>
      </c>
      <c r="AG32" s="35">
        <v>6</v>
      </c>
      <c r="AH32" s="35">
        <v>29</v>
      </c>
      <c r="AI32" s="1">
        <v>1030</v>
      </c>
      <c r="AJ32" s="35" t="s">
        <v>180</v>
      </c>
      <c r="AK32" s="1">
        <v>15</v>
      </c>
      <c r="AM32" s="1">
        <v>5</v>
      </c>
      <c r="AN32" s="43" t="s">
        <v>277</v>
      </c>
      <c r="AO32" s="60">
        <v>0</v>
      </c>
      <c r="AP32" s="35">
        <v>3</v>
      </c>
    </row>
    <row r="33" spans="1:72">
      <c r="A33" s="1">
        <v>8</v>
      </c>
      <c r="B33" s="1" t="s">
        <v>227</v>
      </c>
      <c r="C33" s="1" t="s">
        <v>179</v>
      </c>
      <c r="D33" s="1">
        <v>288029954</v>
      </c>
      <c r="E33" s="1" t="s">
        <v>225</v>
      </c>
      <c r="F33" s="45" t="s">
        <v>122</v>
      </c>
      <c r="G33" s="1">
        <v>2</v>
      </c>
      <c r="H33" s="1" t="s">
        <v>155</v>
      </c>
      <c r="I33" s="1" t="s">
        <v>22</v>
      </c>
      <c r="J33" s="1" t="s">
        <v>176</v>
      </c>
      <c r="K33" s="1" t="s">
        <v>189</v>
      </c>
      <c r="N33" s="34">
        <v>3</v>
      </c>
      <c r="O33" s="1">
        <v>0</v>
      </c>
      <c r="P33" s="1">
        <v>0</v>
      </c>
      <c r="Q33" s="1">
        <v>2</v>
      </c>
      <c r="R33" s="1">
        <v>0</v>
      </c>
      <c r="S33" s="1" t="s">
        <v>179</v>
      </c>
      <c r="T33" s="1">
        <v>1</v>
      </c>
      <c r="V33" s="30"/>
      <c r="AC33" s="31"/>
      <c r="AD33" s="1">
        <v>55</v>
      </c>
      <c r="AE33" s="1">
        <v>10.4</v>
      </c>
      <c r="AF33" s="35">
        <v>300</v>
      </c>
      <c r="AG33" s="35">
        <v>6</v>
      </c>
      <c r="AH33" s="35">
        <v>29</v>
      </c>
      <c r="AI33" s="1">
        <v>1030</v>
      </c>
      <c r="AJ33" s="35" t="s">
        <v>180</v>
      </c>
      <c r="AK33" s="1">
        <v>21</v>
      </c>
      <c r="AN33" s="32"/>
      <c r="AO33" s="60">
        <v>0</v>
      </c>
      <c r="AP33" s="35">
        <v>3</v>
      </c>
    </row>
    <row r="34" spans="1:72">
      <c r="A34" s="36">
        <v>9</v>
      </c>
      <c r="B34" s="36" t="s">
        <v>227</v>
      </c>
      <c r="C34" s="36" t="s">
        <v>179</v>
      </c>
      <c r="D34" s="36">
        <v>290077839</v>
      </c>
      <c r="E34" s="36" t="s">
        <v>223</v>
      </c>
      <c r="F34" s="58" t="s">
        <v>123</v>
      </c>
      <c r="G34" s="36">
        <v>1</v>
      </c>
      <c r="H34" s="36" t="s">
        <v>155</v>
      </c>
      <c r="I34" s="36" t="s">
        <v>178</v>
      </c>
      <c r="J34" s="36" t="s">
        <v>176</v>
      </c>
      <c r="K34" s="36" t="s">
        <v>177</v>
      </c>
      <c r="L34" s="36" t="s">
        <v>178</v>
      </c>
      <c r="M34" s="36" t="s">
        <v>22</v>
      </c>
      <c r="N34" s="55">
        <v>6</v>
      </c>
      <c r="O34" s="36">
        <v>0</v>
      </c>
      <c r="P34" s="36">
        <v>4</v>
      </c>
      <c r="Q34" s="36">
        <v>1</v>
      </c>
      <c r="R34" s="36">
        <v>0</v>
      </c>
      <c r="S34" s="36" t="s">
        <v>179</v>
      </c>
      <c r="T34" s="36">
        <v>2</v>
      </c>
      <c r="U34" s="37"/>
      <c r="V34" s="38"/>
      <c r="W34" s="37"/>
      <c r="X34" s="37"/>
      <c r="Y34" s="37"/>
      <c r="Z34" s="37"/>
      <c r="AA34" s="37"/>
      <c r="AB34" s="37"/>
      <c r="AC34" s="39"/>
      <c r="AD34" s="36">
        <v>58</v>
      </c>
      <c r="AE34" s="36">
        <v>9.9</v>
      </c>
      <c r="AF34" s="40">
        <v>300</v>
      </c>
      <c r="AG34" s="40">
        <v>6</v>
      </c>
      <c r="AH34" s="40">
        <v>29</v>
      </c>
      <c r="AI34" s="36">
        <v>1130</v>
      </c>
      <c r="AJ34" s="40" t="s">
        <v>180</v>
      </c>
      <c r="AK34" s="36">
        <v>20</v>
      </c>
      <c r="AL34" s="37"/>
      <c r="AM34" s="37"/>
      <c r="AN34" s="41"/>
      <c r="AO34" s="61" t="s">
        <v>215</v>
      </c>
      <c r="AP34" s="40">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1">
        <v>10</v>
      </c>
      <c r="B35" s="11" t="s">
        <v>227</v>
      </c>
      <c r="C35" s="11" t="s">
        <v>157</v>
      </c>
      <c r="D35" s="11">
        <v>263101289</v>
      </c>
      <c r="E35" s="53" t="s">
        <v>229</v>
      </c>
      <c r="F35" s="59" t="s">
        <v>95</v>
      </c>
      <c r="G35" s="11">
        <v>1</v>
      </c>
      <c r="H35" s="11" t="s">
        <v>155</v>
      </c>
      <c r="I35" s="11" t="s">
        <v>178</v>
      </c>
      <c r="J35" s="11" t="s">
        <v>176</v>
      </c>
      <c r="K35" s="11" t="s">
        <v>177</v>
      </c>
      <c r="L35" s="11" t="s">
        <v>178</v>
      </c>
      <c r="M35" s="11" t="s">
        <v>22</v>
      </c>
      <c r="N35" s="56">
        <v>6</v>
      </c>
      <c r="O35" s="11">
        <v>0</v>
      </c>
      <c r="P35" s="11">
        <v>4</v>
      </c>
      <c r="Q35" s="11">
        <v>1</v>
      </c>
      <c r="R35" s="11">
        <v>0</v>
      </c>
      <c r="S35" s="11" t="s">
        <v>179</v>
      </c>
      <c r="T35" s="11">
        <v>2</v>
      </c>
      <c r="U35" s="12"/>
      <c r="V35" s="48"/>
      <c r="W35" s="12"/>
      <c r="X35" s="12"/>
      <c r="Y35" s="12"/>
      <c r="Z35" s="12"/>
      <c r="AA35" s="12"/>
      <c r="AB35" s="12"/>
      <c r="AC35" s="49"/>
      <c r="AD35" s="11">
        <v>51</v>
      </c>
      <c r="AE35" s="11">
        <v>10.9</v>
      </c>
      <c r="AF35" s="50">
        <v>300</v>
      </c>
      <c r="AG35" s="50">
        <v>6</v>
      </c>
      <c r="AH35" s="50">
        <v>29</v>
      </c>
      <c r="AI35" s="11">
        <v>1130</v>
      </c>
      <c r="AJ35" s="50" t="s">
        <v>180</v>
      </c>
      <c r="AK35" s="11">
        <v>6</v>
      </c>
      <c r="AL35" s="12"/>
      <c r="AM35" s="12"/>
      <c r="AN35" s="51"/>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135291871</v>
      </c>
      <c r="E36" s="1" t="s">
        <v>181</v>
      </c>
      <c r="F36" s="45" t="s">
        <v>115</v>
      </c>
      <c r="G36" s="1">
        <v>2</v>
      </c>
      <c r="H36" s="1" t="s">
        <v>22</v>
      </c>
      <c r="I36" s="1" t="s">
        <v>183</v>
      </c>
      <c r="J36" s="1" t="s">
        <v>200</v>
      </c>
      <c r="K36" s="1" t="s">
        <v>189</v>
      </c>
      <c r="N36" s="30"/>
      <c r="Q36" s="1">
        <v>3</v>
      </c>
      <c r="R36" s="1">
        <v>2</v>
      </c>
      <c r="S36" s="1" t="s">
        <v>183</v>
      </c>
      <c r="T36" s="1">
        <v>1</v>
      </c>
      <c r="U36" s="1">
        <v>2</v>
      </c>
      <c r="V36" s="34" t="s">
        <v>183</v>
      </c>
      <c r="W36" s="1" t="s">
        <v>183</v>
      </c>
      <c r="AC36" s="31"/>
      <c r="AD36" s="1">
        <v>75</v>
      </c>
      <c r="AE36" s="1">
        <v>37.799999999999997</v>
      </c>
      <c r="AF36" s="35">
        <v>300</v>
      </c>
      <c r="AG36" s="35">
        <v>6</v>
      </c>
      <c r="AH36" s="35">
        <v>29</v>
      </c>
      <c r="AI36" s="1">
        <v>630</v>
      </c>
      <c r="AJ36" s="35" t="s">
        <v>180</v>
      </c>
      <c r="AK36" s="1">
        <v>2</v>
      </c>
      <c r="AN36" s="32"/>
      <c r="AO36" s="60">
        <v>2</v>
      </c>
      <c r="AP36" s="1">
        <v>4</v>
      </c>
    </row>
    <row r="37" spans="1:72">
      <c r="A37" s="1">
        <v>2</v>
      </c>
      <c r="B37" s="1" t="s">
        <v>216</v>
      </c>
      <c r="C37" s="1" t="s">
        <v>179</v>
      </c>
      <c r="D37" s="1">
        <v>172176241</v>
      </c>
      <c r="E37" s="1" t="s">
        <v>175</v>
      </c>
      <c r="F37" s="45" t="s">
        <v>114</v>
      </c>
      <c r="G37" s="1">
        <v>1</v>
      </c>
      <c r="H37" s="1" t="s">
        <v>178</v>
      </c>
      <c r="J37" s="1" t="s">
        <v>278</v>
      </c>
      <c r="K37" s="1" t="s">
        <v>177</v>
      </c>
      <c r="L37" s="1" t="s">
        <v>178</v>
      </c>
      <c r="N37" s="30"/>
      <c r="O37" s="1">
        <v>0</v>
      </c>
      <c r="P37" s="1">
        <v>4</v>
      </c>
      <c r="Q37" s="1">
        <v>0</v>
      </c>
      <c r="R37" s="1">
        <v>0</v>
      </c>
      <c r="S37" s="1" t="s">
        <v>179</v>
      </c>
      <c r="T37" s="1">
        <v>2</v>
      </c>
      <c r="V37" s="30"/>
      <c r="AC37" s="31"/>
      <c r="AD37" s="1">
        <v>62</v>
      </c>
      <c r="AE37" s="1">
        <v>20.7</v>
      </c>
      <c r="AF37" s="35">
        <v>300</v>
      </c>
      <c r="AG37" s="35">
        <v>6</v>
      </c>
      <c r="AH37" s="35">
        <v>29</v>
      </c>
      <c r="AI37" s="1">
        <v>730</v>
      </c>
      <c r="AJ37" s="35" t="s">
        <v>180</v>
      </c>
      <c r="AK37" s="1">
        <v>10</v>
      </c>
      <c r="AN37" s="32"/>
      <c r="AO37" s="60" t="s">
        <v>203</v>
      </c>
      <c r="AP37" s="35">
        <v>4</v>
      </c>
    </row>
    <row r="38" spans="1:72">
      <c r="A38" s="36">
        <v>3</v>
      </c>
      <c r="B38" s="36" t="s">
        <v>216</v>
      </c>
      <c r="C38" s="36" t="s">
        <v>189</v>
      </c>
      <c r="D38" s="37"/>
      <c r="E38" s="36" t="s">
        <v>193</v>
      </c>
      <c r="F38" s="58" t="s">
        <v>32</v>
      </c>
      <c r="G38" s="36">
        <v>1</v>
      </c>
      <c r="H38" s="36" t="s">
        <v>22</v>
      </c>
      <c r="I38" s="37"/>
      <c r="J38" s="36" t="s">
        <v>278</v>
      </c>
      <c r="K38" s="36" t="s">
        <v>186</v>
      </c>
      <c r="L38" s="36" t="s">
        <v>22</v>
      </c>
      <c r="M38" s="37"/>
      <c r="N38" s="38"/>
      <c r="O38" s="37"/>
      <c r="P38" s="37"/>
      <c r="Q38" s="37"/>
      <c r="R38" s="36">
        <v>3</v>
      </c>
      <c r="S38" s="36" t="s">
        <v>155</v>
      </c>
      <c r="T38" s="36">
        <v>0</v>
      </c>
      <c r="U38" s="36">
        <v>0</v>
      </c>
      <c r="V38" s="38"/>
      <c r="W38" s="37"/>
      <c r="X38" s="37"/>
      <c r="Y38" s="37"/>
      <c r="Z38" s="37"/>
      <c r="AA38" s="37"/>
      <c r="AB38" s="37"/>
      <c r="AC38" s="39"/>
      <c r="AD38" s="37"/>
      <c r="AE38" s="37"/>
      <c r="AF38" s="40">
        <v>300</v>
      </c>
      <c r="AG38" s="40">
        <v>6</v>
      </c>
      <c r="AH38" s="40">
        <v>29</v>
      </c>
      <c r="AI38" s="36">
        <v>8</v>
      </c>
      <c r="AJ38" s="40" t="s">
        <v>180</v>
      </c>
      <c r="AK38" s="36">
        <v>15</v>
      </c>
      <c r="AL38" s="37"/>
      <c r="AM38" s="36">
        <v>1</v>
      </c>
      <c r="AN38" s="44" t="s">
        <v>279</v>
      </c>
      <c r="AO38" s="61" t="s">
        <v>189</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4</v>
      </c>
      <c r="B39" s="1" t="s">
        <v>216</v>
      </c>
      <c r="C39" s="1" t="s">
        <v>179</v>
      </c>
      <c r="D39" s="1">
        <v>172176243</v>
      </c>
      <c r="E39" s="1" t="s">
        <v>248</v>
      </c>
      <c r="F39" s="45" t="s">
        <v>102</v>
      </c>
      <c r="G39" s="1">
        <v>2</v>
      </c>
      <c r="H39" s="1" t="s">
        <v>22</v>
      </c>
      <c r="I39" s="1" t="s">
        <v>220</v>
      </c>
      <c r="J39" s="1" t="s">
        <v>200</v>
      </c>
      <c r="K39" s="1" t="s">
        <v>189</v>
      </c>
      <c r="N39" s="30"/>
      <c r="O39" s="1">
        <v>0</v>
      </c>
      <c r="Q39" s="1">
        <v>2</v>
      </c>
      <c r="S39" s="1" t="s">
        <v>183</v>
      </c>
      <c r="T39" s="1">
        <v>0</v>
      </c>
      <c r="U39" s="1">
        <v>3</v>
      </c>
      <c r="V39" s="30"/>
      <c r="AC39" s="31"/>
      <c r="AD39" s="1">
        <v>77</v>
      </c>
      <c r="AE39" s="1">
        <v>30.1</v>
      </c>
      <c r="AF39" s="35">
        <v>300</v>
      </c>
      <c r="AG39" s="35">
        <v>6</v>
      </c>
      <c r="AH39" s="35">
        <v>29</v>
      </c>
      <c r="AI39" s="1">
        <v>830</v>
      </c>
      <c r="AJ39" s="35" t="s">
        <v>180</v>
      </c>
      <c r="AK39" s="1">
        <v>15</v>
      </c>
      <c r="AN39" s="32"/>
      <c r="AO39" s="60" t="s">
        <v>203</v>
      </c>
      <c r="AP39" s="35">
        <v>4</v>
      </c>
    </row>
    <row r="40" spans="1:72">
      <c r="A40" s="1">
        <v>5</v>
      </c>
      <c r="B40" s="1" t="s">
        <v>216</v>
      </c>
      <c r="C40" s="1" t="s">
        <v>179</v>
      </c>
      <c r="D40" s="1">
        <v>230196610</v>
      </c>
      <c r="E40" s="1" t="s">
        <v>280</v>
      </c>
      <c r="F40" s="45" t="s">
        <v>128</v>
      </c>
      <c r="G40" s="1">
        <v>6</v>
      </c>
      <c r="H40" s="1" t="s">
        <v>22</v>
      </c>
      <c r="J40" s="1" t="s">
        <v>188</v>
      </c>
      <c r="K40" s="1" t="s">
        <v>177</v>
      </c>
      <c r="L40" s="1" t="s">
        <v>22</v>
      </c>
      <c r="M40" s="1" t="s">
        <v>178</v>
      </c>
      <c r="N40" s="30"/>
      <c r="O40" s="1">
        <v>0</v>
      </c>
      <c r="P40" s="1">
        <v>3</v>
      </c>
      <c r="Q40" s="1">
        <v>2</v>
      </c>
      <c r="S40" s="1" t="s">
        <v>179</v>
      </c>
      <c r="T40" s="1">
        <v>3</v>
      </c>
      <c r="U40" s="1">
        <v>0</v>
      </c>
      <c r="V40" s="34" t="s">
        <v>178</v>
      </c>
      <c r="W40" s="1" t="s">
        <v>178</v>
      </c>
      <c r="AC40" s="31"/>
      <c r="AD40" s="1">
        <v>98</v>
      </c>
      <c r="AF40" s="35">
        <v>300</v>
      </c>
      <c r="AG40" s="35">
        <v>6</v>
      </c>
      <c r="AH40" s="35">
        <v>29</v>
      </c>
      <c r="AI40" s="1">
        <v>9</v>
      </c>
      <c r="AJ40" s="35" t="s">
        <v>180</v>
      </c>
      <c r="AK40" s="1">
        <v>2</v>
      </c>
      <c r="AM40" s="1">
        <v>2</v>
      </c>
      <c r="AN40" s="43" t="s">
        <v>281</v>
      </c>
      <c r="AO40" s="33" t="s">
        <v>184</v>
      </c>
      <c r="AP40" s="35">
        <v>4</v>
      </c>
    </row>
    <row r="41" spans="1:72">
      <c r="A41" s="36">
        <v>6</v>
      </c>
      <c r="B41" s="36" t="s">
        <v>216</v>
      </c>
      <c r="C41" s="36" t="s">
        <v>157</v>
      </c>
      <c r="D41" s="36">
        <v>135291818</v>
      </c>
      <c r="E41" s="36" t="s">
        <v>191</v>
      </c>
      <c r="F41" s="58" t="s">
        <v>99</v>
      </c>
      <c r="G41" s="36">
        <v>6</v>
      </c>
      <c r="H41" s="36" t="s">
        <v>22</v>
      </c>
      <c r="I41" s="37"/>
      <c r="J41" s="36" t="s">
        <v>188</v>
      </c>
      <c r="K41" s="36" t="s">
        <v>186</v>
      </c>
      <c r="L41" s="36" t="s">
        <v>1</v>
      </c>
      <c r="M41" s="37"/>
      <c r="N41" s="38"/>
      <c r="O41" s="36">
        <v>1</v>
      </c>
      <c r="P41" s="36">
        <v>0</v>
      </c>
      <c r="Q41" s="37"/>
      <c r="R41" s="37"/>
      <c r="S41" s="36" t="s">
        <v>179</v>
      </c>
      <c r="T41" s="36">
        <v>3</v>
      </c>
      <c r="U41" s="37"/>
      <c r="V41" s="38"/>
      <c r="W41" s="37"/>
      <c r="X41" s="36" t="s">
        <v>178</v>
      </c>
      <c r="Y41" s="36" t="s">
        <v>178</v>
      </c>
      <c r="Z41" s="37"/>
      <c r="AA41" s="36" t="s">
        <v>178</v>
      </c>
      <c r="AB41" s="37"/>
      <c r="AC41" s="39"/>
      <c r="AD41" s="36">
        <v>131</v>
      </c>
      <c r="AE41" s="36">
        <v>72</v>
      </c>
      <c r="AF41" s="40">
        <v>300</v>
      </c>
      <c r="AG41" s="40">
        <v>6</v>
      </c>
      <c r="AH41" s="40">
        <v>29</v>
      </c>
      <c r="AI41" s="36">
        <v>1030</v>
      </c>
      <c r="AJ41" s="40" t="s">
        <v>180</v>
      </c>
      <c r="AK41" s="36">
        <v>20</v>
      </c>
      <c r="AL41" s="37"/>
      <c r="AM41" s="37"/>
      <c r="AN41" s="41"/>
      <c r="AO41" s="61" t="s">
        <v>157</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7</v>
      </c>
      <c r="B42" s="1" t="s">
        <v>216</v>
      </c>
      <c r="C42" s="1" t="s">
        <v>179</v>
      </c>
      <c r="D42" s="1">
        <v>281191235</v>
      </c>
      <c r="E42" s="1" t="s">
        <v>206</v>
      </c>
      <c r="F42" s="45" t="s">
        <v>105</v>
      </c>
      <c r="G42" s="1">
        <v>2</v>
      </c>
      <c r="H42" s="1" t="s">
        <v>155</v>
      </c>
      <c r="I42" s="1" t="s">
        <v>22</v>
      </c>
      <c r="J42" s="1" t="s">
        <v>200</v>
      </c>
      <c r="K42" s="1" t="s">
        <v>189</v>
      </c>
      <c r="N42" s="34">
        <v>3</v>
      </c>
      <c r="O42" s="1">
        <v>0</v>
      </c>
      <c r="P42" s="1">
        <v>0</v>
      </c>
      <c r="Q42" s="1">
        <v>3</v>
      </c>
      <c r="R42" s="1">
        <v>1</v>
      </c>
      <c r="S42" s="1" t="s">
        <v>179</v>
      </c>
      <c r="T42" s="1">
        <v>0</v>
      </c>
      <c r="U42" s="1">
        <v>2</v>
      </c>
      <c r="V42" s="30"/>
      <c r="AC42" s="31"/>
      <c r="AD42" s="1">
        <v>22</v>
      </c>
      <c r="AE42" s="1">
        <v>75</v>
      </c>
      <c r="AF42" s="35">
        <v>300</v>
      </c>
      <c r="AG42" s="35">
        <v>6</v>
      </c>
      <c r="AH42" s="35">
        <v>29</v>
      </c>
      <c r="AI42" s="1">
        <v>11</v>
      </c>
      <c r="AJ42" s="35" t="s">
        <v>180</v>
      </c>
      <c r="AK42" s="1">
        <v>15</v>
      </c>
      <c r="AN42" s="32"/>
      <c r="AO42" s="60">
        <v>1</v>
      </c>
      <c r="AP42" s="35">
        <v>4</v>
      </c>
    </row>
    <row r="43" spans="1:72">
      <c r="A43" s="11">
        <v>8</v>
      </c>
      <c r="B43" s="11" t="s">
        <v>216</v>
      </c>
      <c r="C43" s="11" t="s">
        <v>157</v>
      </c>
      <c r="D43" s="11">
        <v>291032203</v>
      </c>
      <c r="E43" s="11" t="s">
        <v>238</v>
      </c>
      <c r="F43" s="59" t="s">
        <v>87</v>
      </c>
      <c r="G43" s="11">
        <v>1</v>
      </c>
      <c r="H43" s="11" t="s">
        <v>186</v>
      </c>
      <c r="I43" s="12"/>
      <c r="J43" s="11" t="s">
        <v>205</v>
      </c>
      <c r="K43" s="11" t="s">
        <v>189</v>
      </c>
      <c r="L43" s="12"/>
      <c r="M43" s="12"/>
      <c r="N43" s="48"/>
      <c r="O43" s="11">
        <v>0</v>
      </c>
      <c r="P43" s="11">
        <v>0</v>
      </c>
      <c r="Q43" s="11">
        <v>1</v>
      </c>
      <c r="R43" s="11">
        <v>0</v>
      </c>
      <c r="S43" s="12"/>
      <c r="T43" s="12"/>
      <c r="U43" s="12"/>
      <c r="V43" s="48"/>
      <c r="W43" s="12"/>
      <c r="X43" s="12"/>
      <c r="Y43" s="12"/>
      <c r="Z43" s="12"/>
      <c r="AA43" s="11" t="s">
        <v>189</v>
      </c>
      <c r="AB43" s="12"/>
      <c r="AC43" s="49"/>
      <c r="AD43" s="11">
        <v>60</v>
      </c>
      <c r="AE43" s="11">
        <v>11.1</v>
      </c>
      <c r="AF43" s="50">
        <v>300</v>
      </c>
      <c r="AG43" s="50">
        <v>6</v>
      </c>
      <c r="AH43" s="50">
        <v>29</v>
      </c>
      <c r="AI43" s="11">
        <v>1130</v>
      </c>
      <c r="AJ43" s="50" t="s">
        <v>180</v>
      </c>
      <c r="AK43" s="11">
        <v>2</v>
      </c>
      <c r="AL43" s="12"/>
      <c r="AM43" s="11">
        <v>3</v>
      </c>
      <c r="AN43" s="54" t="s">
        <v>282</v>
      </c>
      <c r="AO43" s="6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A44" s="1">
        <v>1</v>
      </c>
      <c r="B44" s="1" t="s">
        <v>260</v>
      </c>
      <c r="C44" s="1" t="s">
        <v>189</v>
      </c>
      <c r="E44" s="1" t="s">
        <v>175</v>
      </c>
      <c r="F44" s="45" t="s">
        <v>114</v>
      </c>
      <c r="G44" s="1">
        <v>9</v>
      </c>
      <c r="N44" s="30"/>
      <c r="V44" s="30"/>
      <c r="AC44" s="31"/>
      <c r="AG44" s="35">
        <v>6</v>
      </c>
      <c r="AH44" s="35">
        <v>29</v>
      </c>
      <c r="AI44" s="1">
        <v>1030</v>
      </c>
      <c r="AJ44" s="35" t="s">
        <v>180</v>
      </c>
      <c r="AK44" s="1">
        <v>6</v>
      </c>
      <c r="AN44" s="32"/>
      <c r="AO44" s="60" t="s">
        <v>189</v>
      </c>
      <c r="AP44" s="1">
        <v>5</v>
      </c>
    </row>
    <row r="45" spans="1:72">
      <c r="A45" s="1">
        <v>2</v>
      </c>
      <c r="B45" s="1" t="s">
        <v>260</v>
      </c>
      <c r="C45" s="1" t="s">
        <v>179</v>
      </c>
      <c r="D45" s="1">
        <v>288029950</v>
      </c>
      <c r="E45" s="1" t="s">
        <v>238</v>
      </c>
      <c r="F45" s="45" t="s">
        <v>87</v>
      </c>
      <c r="G45" s="1">
        <v>5</v>
      </c>
      <c r="H45" s="1" t="s">
        <v>22</v>
      </c>
      <c r="J45" s="1" t="s">
        <v>182</v>
      </c>
      <c r="K45" s="1" t="s">
        <v>186</v>
      </c>
      <c r="L45" s="1" t="s">
        <v>1</v>
      </c>
      <c r="M45" s="1" t="s">
        <v>22</v>
      </c>
      <c r="N45" s="30"/>
      <c r="Q45" s="1">
        <v>1</v>
      </c>
      <c r="R45" s="1">
        <v>0</v>
      </c>
      <c r="S45" s="1" t="s">
        <v>179</v>
      </c>
      <c r="T45" s="1">
        <v>1</v>
      </c>
      <c r="U45" s="1">
        <v>0</v>
      </c>
      <c r="V45" s="30"/>
      <c r="AA45" s="1" t="s">
        <v>177</v>
      </c>
      <c r="AC45" s="31"/>
      <c r="AD45" s="1">
        <v>61</v>
      </c>
      <c r="AE45" s="1">
        <v>9.4</v>
      </c>
      <c r="AF45" s="1">
        <v>300</v>
      </c>
      <c r="AG45" s="35">
        <v>6</v>
      </c>
      <c r="AH45" s="35">
        <v>29</v>
      </c>
      <c r="AI45" s="1">
        <v>1030</v>
      </c>
      <c r="AJ45" s="35" t="s">
        <v>180</v>
      </c>
      <c r="AK45" s="1">
        <v>21</v>
      </c>
      <c r="AN45" s="32"/>
      <c r="AO45" s="60">
        <v>0</v>
      </c>
      <c r="AP45" s="1">
        <v>5</v>
      </c>
    </row>
    <row r="46" spans="1:72">
      <c r="A46" s="11">
        <v>3</v>
      </c>
      <c r="B46" s="11" t="s">
        <v>260</v>
      </c>
      <c r="C46" s="11" t="s">
        <v>157</v>
      </c>
      <c r="D46" s="11">
        <v>262127352</v>
      </c>
      <c r="E46" s="11" t="s">
        <v>199</v>
      </c>
      <c r="F46" s="59" t="s">
        <v>111</v>
      </c>
      <c r="G46" s="11">
        <v>1</v>
      </c>
      <c r="H46" s="11" t="s">
        <v>22</v>
      </c>
      <c r="I46" s="12"/>
      <c r="J46" s="11" t="s">
        <v>176</v>
      </c>
      <c r="K46" s="11" t="s">
        <v>186</v>
      </c>
      <c r="L46" s="11" t="s">
        <v>1</v>
      </c>
      <c r="M46" s="11" t="s">
        <v>22</v>
      </c>
      <c r="N46" s="48"/>
      <c r="O46" s="11">
        <v>3</v>
      </c>
      <c r="P46" s="12"/>
      <c r="Q46" s="11">
        <v>1</v>
      </c>
      <c r="R46" s="11">
        <v>0</v>
      </c>
      <c r="S46" s="11" t="s">
        <v>179</v>
      </c>
      <c r="T46" s="11">
        <v>2</v>
      </c>
      <c r="U46" s="11">
        <v>0</v>
      </c>
      <c r="V46" s="48"/>
      <c r="W46" s="12"/>
      <c r="X46" s="12"/>
      <c r="Y46" s="12"/>
      <c r="Z46" s="12"/>
      <c r="AA46" s="12"/>
      <c r="AB46" s="12"/>
      <c r="AC46" s="49"/>
      <c r="AD46" s="11">
        <v>84</v>
      </c>
      <c r="AE46" s="11">
        <v>17.399999999999999</v>
      </c>
      <c r="AF46" s="11">
        <v>300</v>
      </c>
      <c r="AG46" s="50">
        <v>6</v>
      </c>
      <c r="AH46" s="50">
        <v>29</v>
      </c>
      <c r="AI46" s="11">
        <v>1030</v>
      </c>
      <c r="AJ46" s="50" t="s">
        <v>180</v>
      </c>
      <c r="AK46" s="11">
        <v>14</v>
      </c>
      <c r="AL46" s="12"/>
      <c r="AM46" s="12"/>
      <c r="AN46" s="51"/>
      <c r="AO46" s="62" t="s">
        <v>157</v>
      </c>
      <c r="AP46" s="11">
        <v>5</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c r="F47" s="31"/>
      <c r="N47" s="30"/>
      <c r="V47" s="30"/>
      <c r="AC47" s="31"/>
      <c r="AN47" s="32"/>
      <c r="AO47" s="57"/>
    </row>
    <row r="48" spans="1:72">
      <c r="F48" s="31"/>
      <c r="N48" s="30"/>
      <c r="V48" s="30"/>
      <c r="AC48" s="31"/>
      <c r="AN48" s="32"/>
      <c r="AO48" s="57"/>
    </row>
    <row r="49" spans="6:41">
      <c r="F49" s="31"/>
      <c r="N49" s="30"/>
      <c r="V49" s="30"/>
      <c r="AC49" s="31"/>
      <c r="AN49" s="32"/>
      <c r="AO49" s="57"/>
    </row>
    <row r="50" spans="6:41">
      <c r="F50" s="31"/>
      <c r="N50" s="30"/>
      <c r="V50" s="30"/>
      <c r="AC50" s="31"/>
      <c r="AN50" s="32"/>
      <c r="AO50" s="57"/>
    </row>
    <row r="51" spans="6:41">
      <c r="F51" s="31"/>
      <c r="N51" s="30"/>
      <c r="V51" s="30"/>
      <c r="AC51" s="31"/>
      <c r="AN51" s="32"/>
      <c r="AO51" s="57"/>
    </row>
    <row r="52" spans="6:41">
      <c r="F52" s="31"/>
      <c r="N52" s="30"/>
      <c r="V52" s="30"/>
      <c r="AC52" s="31"/>
      <c r="AN52" s="32"/>
      <c r="AO52" s="57"/>
    </row>
    <row r="53" spans="6:41">
      <c r="F53" s="31"/>
      <c r="N53" s="30"/>
      <c r="V53" s="30"/>
      <c r="AC53" s="31"/>
      <c r="AN53" s="32"/>
      <c r="AO53" s="57"/>
    </row>
    <row r="54" spans="6:41">
      <c r="F54" s="31"/>
      <c r="N54" s="30"/>
      <c r="V54" s="30"/>
      <c r="AC54" s="31"/>
      <c r="AN54" s="32"/>
      <c r="AO54" s="57"/>
    </row>
    <row r="55" spans="6:41">
      <c r="F55" s="31"/>
      <c r="N55" s="30"/>
      <c r="V55" s="30"/>
      <c r="AC55" s="31"/>
      <c r="AN55" s="32"/>
      <c r="AO55" s="57"/>
    </row>
    <row r="56" spans="6:41">
      <c r="F56" s="31"/>
      <c r="N56" s="30"/>
      <c r="V56" s="30"/>
      <c r="AC56" s="31"/>
      <c r="AN56" s="32"/>
      <c r="AO56" s="57"/>
    </row>
    <row r="57" spans="6:41">
      <c r="F57" s="31"/>
      <c r="N57" s="30"/>
      <c r="V57" s="30"/>
      <c r="AC57" s="31"/>
      <c r="AN57" s="32"/>
      <c r="AO57" s="57"/>
    </row>
    <row r="58" spans="6:41">
      <c r="F58" s="31"/>
      <c r="N58" s="30"/>
      <c r="V58" s="30"/>
      <c r="AC58" s="31"/>
      <c r="AN58" s="32"/>
      <c r="AO58" s="57"/>
    </row>
    <row r="59" spans="6:41">
      <c r="F59" s="31"/>
      <c r="N59" s="30"/>
      <c r="V59" s="30"/>
      <c r="AC59" s="31"/>
      <c r="AN59" s="32"/>
      <c r="AO59" s="57"/>
    </row>
    <row r="60" spans="6:41">
      <c r="F60" s="31"/>
      <c r="N60" s="30"/>
      <c r="V60" s="30"/>
      <c r="AC60" s="31"/>
      <c r="AN60" s="32"/>
      <c r="AO60" s="57"/>
    </row>
    <row r="61" spans="6:41">
      <c r="F61" s="31"/>
      <c r="N61" s="30"/>
      <c r="V61" s="30"/>
      <c r="AC61" s="31"/>
      <c r="AN61" s="32"/>
      <c r="AO61" s="57"/>
    </row>
    <row r="62" spans="6:41">
      <c r="F62" s="31"/>
      <c r="N62" s="30"/>
      <c r="V62" s="30"/>
      <c r="AC62" s="31"/>
      <c r="AN62" s="32"/>
      <c r="AO62" s="57"/>
    </row>
    <row r="63" spans="6:41">
      <c r="F63" s="31"/>
      <c r="N63" s="30"/>
      <c r="V63" s="30"/>
      <c r="AC63" s="31"/>
      <c r="AN63" s="32"/>
      <c r="AO63" s="57"/>
    </row>
    <row r="64" spans="6:41">
      <c r="F64" s="31"/>
      <c r="N64" s="30"/>
      <c r="V64" s="30"/>
      <c r="AC64" s="31"/>
      <c r="AN64" s="32"/>
      <c r="AO64" s="57"/>
    </row>
    <row r="65" spans="6:41">
      <c r="F65" s="31"/>
      <c r="N65" s="30"/>
      <c r="V65" s="30"/>
      <c r="AC65" s="31"/>
      <c r="AN65" s="32"/>
      <c r="AO65" s="57"/>
    </row>
    <row r="66" spans="6:41">
      <c r="F66" s="31"/>
      <c r="N66" s="30"/>
      <c r="V66" s="30"/>
      <c r="AC66" s="31"/>
      <c r="AN66" s="32"/>
      <c r="AO66" s="57"/>
    </row>
    <row r="67" spans="6:41">
      <c r="F67" s="31"/>
      <c r="N67" s="30"/>
      <c r="V67" s="30"/>
      <c r="AC67" s="31"/>
      <c r="AN67" s="32"/>
      <c r="AO67" s="57"/>
    </row>
    <row r="68" spans="6:41">
      <c r="F68" s="31"/>
      <c r="N68" s="30"/>
      <c r="V68" s="30"/>
      <c r="AC68" s="31"/>
      <c r="AN68" s="32"/>
      <c r="AO68" s="57"/>
    </row>
    <row r="69" spans="6:41">
      <c r="F69" s="31"/>
      <c r="N69" s="30"/>
      <c r="V69" s="30"/>
      <c r="AC69" s="31"/>
      <c r="AN69" s="32"/>
      <c r="AO69" s="57"/>
    </row>
    <row r="70" spans="6:41">
      <c r="F70" s="31"/>
      <c r="N70" s="30"/>
      <c r="V70" s="30"/>
      <c r="AC70" s="31"/>
      <c r="AN70" s="32"/>
      <c r="AO70" s="57"/>
    </row>
    <row r="71" spans="6:41">
      <c r="F71" s="31"/>
      <c r="N71" s="30"/>
      <c r="V71" s="30"/>
      <c r="AC71" s="31"/>
      <c r="AN71" s="32"/>
      <c r="AO71" s="57"/>
    </row>
    <row r="72" spans="6:41">
      <c r="F72" s="31"/>
      <c r="N72" s="30"/>
      <c r="V72" s="30"/>
      <c r="AC72" s="31"/>
      <c r="AN72" s="32"/>
      <c r="AO72" s="57"/>
    </row>
    <row r="73" spans="6:41">
      <c r="F73" s="31"/>
      <c r="N73" s="30"/>
      <c r="V73" s="30"/>
      <c r="AC73" s="31"/>
      <c r="AN73" s="32"/>
      <c r="AO73" s="57"/>
    </row>
    <row r="74" spans="6:41">
      <c r="F74" s="31"/>
      <c r="N74" s="30"/>
      <c r="V74" s="30"/>
      <c r="AC74" s="31"/>
      <c r="AN74" s="32"/>
      <c r="AO74" s="57"/>
    </row>
    <row r="75" spans="6:41">
      <c r="F75" s="31"/>
      <c r="N75" s="30"/>
      <c r="V75" s="30"/>
      <c r="AC75" s="31"/>
      <c r="AN75" s="32"/>
      <c r="AO75" s="57"/>
    </row>
    <row r="76" spans="6:41">
      <c r="F76" s="31"/>
      <c r="N76" s="30"/>
      <c r="V76" s="30"/>
      <c r="AC76" s="31"/>
      <c r="AN76" s="32"/>
      <c r="AO76" s="57"/>
    </row>
    <row r="77" spans="6:41">
      <c r="F77" s="31"/>
      <c r="N77" s="30"/>
      <c r="V77" s="30"/>
      <c r="AC77" s="31"/>
      <c r="AN77" s="32"/>
      <c r="AO77" s="57"/>
    </row>
    <row r="78" spans="6:41">
      <c r="F78" s="31"/>
      <c r="N78" s="30"/>
      <c r="V78" s="30"/>
      <c r="AC78" s="31"/>
      <c r="AN78" s="32"/>
      <c r="AO78" s="57"/>
    </row>
    <row r="79" spans="6:41">
      <c r="F79" s="31"/>
      <c r="N79" s="30"/>
      <c r="V79" s="30"/>
      <c r="AC79" s="31"/>
      <c r="AN79" s="32"/>
      <c r="AO79" s="57"/>
    </row>
    <row r="80" spans="6:41">
      <c r="F80" s="31"/>
      <c r="N80" s="30"/>
      <c r="V80" s="30"/>
      <c r="AC80" s="31"/>
      <c r="AN80" s="32"/>
      <c r="AO80" s="57"/>
    </row>
    <row r="81" spans="6:41">
      <c r="F81" s="31"/>
      <c r="N81" s="30"/>
      <c r="V81" s="30"/>
      <c r="AC81" s="31"/>
      <c r="AN81" s="32"/>
      <c r="AO81" s="57"/>
    </row>
    <row r="82" spans="6:41">
      <c r="F82" s="31"/>
      <c r="N82" s="30"/>
      <c r="V82" s="30"/>
      <c r="AC82" s="31"/>
      <c r="AN82" s="32"/>
      <c r="AO82" s="57"/>
    </row>
    <row r="83" spans="6:41">
      <c r="F83" s="31"/>
      <c r="N83" s="30"/>
      <c r="V83" s="30"/>
      <c r="AC83" s="31"/>
      <c r="AN83" s="32"/>
      <c r="AO83" s="57"/>
    </row>
    <row r="84" spans="6:41">
      <c r="F84" s="31"/>
      <c r="N84" s="30"/>
      <c r="V84" s="30"/>
      <c r="AC84" s="31"/>
      <c r="AN84" s="32"/>
      <c r="AO84" s="57"/>
    </row>
    <row r="85" spans="6:41">
      <c r="F85" s="31"/>
      <c r="N85" s="30"/>
      <c r="V85" s="30"/>
      <c r="AC85" s="31"/>
      <c r="AN85" s="32"/>
      <c r="AO85" s="57"/>
    </row>
    <row r="86" spans="6:41">
      <c r="F86" s="31"/>
      <c r="N86" s="30"/>
      <c r="V86" s="30"/>
      <c r="AC86" s="31"/>
      <c r="AN86" s="32"/>
      <c r="AO86" s="57"/>
    </row>
    <row r="87" spans="6:41">
      <c r="F87" s="31"/>
      <c r="N87" s="30"/>
      <c r="V87" s="30"/>
      <c r="AC87" s="31"/>
      <c r="AN87" s="32"/>
      <c r="AO87" s="57"/>
    </row>
    <row r="88" spans="6:41">
      <c r="F88" s="31"/>
      <c r="N88" s="30"/>
      <c r="V88" s="30"/>
      <c r="AC88" s="31"/>
      <c r="AN88" s="32"/>
      <c r="AO88" s="57"/>
    </row>
    <row r="89" spans="6:41">
      <c r="F89" s="31"/>
      <c r="N89" s="30"/>
      <c r="V89" s="30"/>
      <c r="AC89" s="31"/>
      <c r="AN89" s="32"/>
      <c r="AO89" s="57"/>
    </row>
    <row r="90" spans="6:41">
      <c r="F90" s="31"/>
      <c r="N90" s="30"/>
      <c r="V90" s="30"/>
      <c r="AC90" s="31"/>
      <c r="AN90" s="32"/>
      <c r="AO90" s="57"/>
    </row>
    <row r="91" spans="6:41">
      <c r="F91" s="31"/>
      <c r="N91" s="30"/>
      <c r="V91" s="30"/>
      <c r="AC91" s="31"/>
      <c r="AN91" s="32"/>
      <c r="AO91" s="57"/>
    </row>
    <row r="92" spans="6:41">
      <c r="F92" s="31"/>
      <c r="N92" s="30"/>
      <c r="V92" s="30"/>
      <c r="AC92" s="31"/>
      <c r="AN92" s="32"/>
      <c r="AO92" s="57"/>
    </row>
    <row r="93" spans="6:41">
      <c r="F93" s="31"/>
      <c r="N93" s="30"/>
      <c r="V93" s="30"/>
      <c r="AC93" s="31"/>
      <c r="AN93" s="32"/>
      <c r="AO93" s="57"/>
    </row>
    <row r="94" spans="6:41">
      <c r="F94" s="31"/>
      <c r="N94" s="30"/>
      <c r="V94" s="30"/>
      <c r="AC94" s="31"/>
      <c r="AN94" s="32"/>
      <c r="AO94" s="57"/>
    </row>
    <row r="95" spans="6:41">
      <c r="F95" s="31"/>
      <c r="N95" s="30"/>
      <c r="V95" s="30"/>
      <c r="AC95" s="31"/>
      <c r="AN95" s="32"/>
      <c r="AO95" s="57"/>
    </row>
    <row r="96" spans="6:41">
      <c r="F96" s="31"/>
      <c r="N96" s="30"/>
      <c r="V96" s="30"/>
      <c r="AC96" s="31"/>
      <c r="AN96" s="32"/>
      <c r="AO96" s="57"/>
    </row>
    <row r="97" spans="6:41">
      <c r="F97" s="31"/>
      <c r="N97" s="30"/>
      <c r="V97" s="30"/>
      <c r="AC97" s="31"/>
      <c r="AN97" s="32"/>
      <c r="AO97" s="57"/>
    </row>
    <row r="98" spans="6:41">
      <c r="F98" s="31"/>
      <c r="N98" s="30"/>
      <c r="V98" s="30"/>
      <c r="AC98" s="31"/>
      <c r="AN98" s="32"/>
      <c r="AO98" s="57"/>
    </row>
    <row r="99" spans="6:41">
      <c r="F99" s="31"/>
      <c r="N99" s="30"/>
      <c r="V99" s="30"/>
      <c r="AC99" s="31"/>
      <c r="AN99" s="32"/>
      <c r="AO99" s="57"/>
    </row>
    <row r="100" spans="6:41">
      <c r="F100" s="31"/>
      <c r="N100" s="30"/>
      <c r="V100" s="30"/>
      <c r="AC100" s="31"/>
      <c r="AN100" s="32"/>
      <c r="AO100" s="57"/>
    </row>
    <row r="101" spans="6:41">
      <c r="F101" s="31"/>
      <c r="N101" s="30"/>
      <c r="V101" s="30"/>
      <c r="AC101" s="31"/>
      <c r="AN101" s="32"/>
      <c r="AO101" s="57"/>
    </row>
    <row r="102" spans="6:41">
      <c r="F102" s="31"/>
      <c r="N102" s="30"/>
      <c r="V102" s="30"/>
      <c r="AC102" s="31"/>
      <c r="AN102" s="32"/>
      <c r="AO102" s="57"/>
    </row>
    <row r="103" spans="6:41">
      <c r="F103" s="31"/>
      <c r="N103" s="30"/>
      <c r="V103" s="30"/>
      <c r="AC103" s="31"/>
      <c r="AN103" s="32"/>
      <c r="AO103" s="57"/>
    </row>
    <row r="104" spans="6:41">
      <c r="F104" s="31"/>
      <c r="N104" s="30"/>
      <c r="V104" s="30"/>
      <c r="AC104" s="31"/>
      <c r="AN104" s="32"/>
      <c r="AO104" s="57"/>
    </row>
    <row r="105" spans="6:41">
      <c r="F105" s="31"/>
      <c r="N105" s="30"/>
      <c r="V105" s="30"/>
      <c r="AC105" s="31"/>
      <c r="AN105" s="32"/>
      <c r="AO105" s="57"/>
    </row>
    <row r="106" spans="6:41">
      <c r="F106" s="31"/>
      <c r="N106" s="30"/>
      <c r="V106" s="30"/>
      <c r="AC106" s="31"/>
      <c r="AN106" s="32"/>
      <c r="AO106" s="57"/>
    </row>
    <row r="107" spans="6:41">
      <c r="F107" s="31"/>
      <c r="N107" s="30"/>
      <c r="V107" s="30"/>
      <c r="AC107" s="31"/>
      <c r="AN107" s="32"/>
      <c r="AO107" s="57"/>
    </row>
    <row r="108" spans="6:41">
      <c r="F108" s="31"/>
      <c r="N108" s="30"/>
      <c r="V108" s="30"/>
      <c r="AC108" s="31"/>
      <c r="AN108" s="32"/>
      <c r="AO108" s="57"/>
    </row>
    <row r="109" spans="6:41">
      <c r="F109" s="31"/>
      <c r="N109" s="30"/>
      <c r="V109" s="30"/>
      <c r="AC109" s="31"/>
      <c r="AN109" s="32"/>
      <c r="AO109" s="57"/>
    </row>
    <row r="110" spans="6:41">
      <c r="F110" s="31"/>
      <c r="N110" s="30"/>
      <c r="V110" s="30"/>
      <c r="AC110" s="31"/>
      <c r="AN110" s="32"/>
      <c r="AO110" s="57"/>
    </row>
    <row r="111" spans="6:41">
      <c r="F111" s="31"/>
      <c r="N111" s="30"/>
      <c r="V111" s="30"/>
      <c r="AC111" s="31"/>
      <c r="AN111" s="32"/>
      <c r="AO111" s="57"/>
    </row>
    <row r="112" spans="6:41">
      <c r="F112" s="31"/>
      <c r="N112" s="30"/>
      <c r="V112" s="30"/>
      <c r="AC112" s="31"/>
      <c r="AN112" s="32"/>
      <c r="AO112" s="57"/>
    </row>
    <row r="113" spans="6:41">
      <c r="F113" s="31"/>
      <c r="N113" s="30"/>
      <c r="V113" s="30"/>
      <c r="AC113" s="31"/>
      <c r="AN113" s="32"/>
      <c r="AO113" s="57"/>
    </row>
    <row r="114" spans="6:41">
      <c r="F114" s="31"/>
      <c r="N114" s="30"/>
      <c r="V114" s="30"/>
      <c r="AC114" s="31"/>
      <c r="AN114" s="32"/>
      <c r="AO114" s="57"/>
    </row>
    <row r="115" spans="6:41">
      <c r="F115" s="31"/>
      <c r="N115" s="30"/>
      <c r="V115" s="30"/>
      <c r="AC115" s="31"/>
      <c r="AN115" s="32"/>
      <c r="AO115" s="57"/>
    </row>
    <row r="116" spans="6:41">
      <c r="F116" s="31"/>
      <c r="N116" s="30"/>
      <c r="V116" s="30"/>
      <c r="AC116" s="31"/>
      <c r="AN116" s="32"/>
      <c r="AO116" s="57"/>
    </row>
    <row r="117" spans="6:41">
      <c r="F117" s="31"/>
      <c r="N117" s="30"/>
      <c r="V117" s="30"/>
      <c r="AC117" s="31"/>
      <c r="AN117" s="32"/>
      <c r="AO117" s="57"/>
    </row>
    <row r="118" spans="6:41">
      <c r="F118" s="31"/>
      <c r="N118" s="30"/>
      <c r="V118" s="30"/>
      <c r="AC118" s="31"/>
      <c r="AN118" s="32"/>
      <c r="AO118" s="57"/>
    </row>
    <row r="119" spans="6:41">
      <c r="F119" s="31"/>
      <c r="N119" s="30"/>
      <c r="V119" s="30"/>
      <c r="AC119" s="31"/>
      <c r="AN119" s="32"/>
      <c r="AO119" s="57"/>
    </row>
    <row r="120" spans="6:41">
      <c r="F120" s="31"/>
      <c r="N120" s="30"/>
      <c r="V120" s="30"/>
      <c r="AC120" s="31"/>
      <c r="AN120" s="32"/>
      <c r="AO120" s="57"/>
    </row>
    <row r="121" spans="6:41">
      <c r="F121" s="31"/>
      <c r="N121" s="30"/>
      <c r="V121" s="30"/>
      <c r="AC121" s="31"/>
      <c r="AN121" s="32"/>
      <c r="AO121" s="57"/>
    </row>
    <row r="122" spans="6:41">
      <c r="F122" s="31"/>
      <c r="N122" s="30"/>
      <c r="V122" s="30"/>
      <c r="AC122" s="31"/>
      <c r="AN122" s="32"/>
      <c r="AO122" s="57"/>
    </row>
    <row r="123" spans="6:41">
      <c r="F123" s="31"/>
      <c r="N123" s="30"/>
      <c r="V123" s="30"/>
      <c r="AC123" s="31"/>
      <c r="AN123" s="32"/>
      <c r="AO123" s="57"/>
    </row>
    <row r="124" spans="6:41">
      <c r="F124" s="31"/>
      <c r="N124" s="30"/>
      <c r="V124" s="30"/>
      <c r="AC124" s="31"/>
      <c r="AN124" s="32"/>
      <c r="AO124" s="57"/>
    </row>
    <row r="125" spans="6:41">
      <c r="F125" s="31"/>
      <c r="N125" s="30"/>
      <c r="V125" s="30"/>
      <c r="AC125" s="31"/>
      <c r="AN125" s="32"/>
      <c r="AO125" s="57"/>
    </row>
    <row r="126" spans="6:41">
      <c r="F126" s="31"/>
      <c r="N126" s="30"/>
      <c r="V126" s="30"/>
      <c r="AC126" s="31"/>
      <c r="AN126" s="32"/>
      <c r="AO126" s="57"/>
    </row>
    <row r="127" spans="6:41">
      <c r="F127" s="31"/>
      <c r="N127" s="30"/>
      <c r="V127" s="30"/>
      <c r="AC127" s="31"/>
      <c r="AN127" s="32"/>
      <c r="AO127" s="57"/>
    </row>
    <row r="128" spans="6:41">
      <c r="F128" s="31"/>
      <c r="N128" s="30"/>
      <c r="V128" s="30"/>
      <c r="AC128" s="31"/>
      <c r="AN128" s="32"/>
      <c r="AO128" s="57"/>
    </row>
    <row r="129" spans="6:41">
      <c r="F129" s="31"/>
      <c r="N129" s="30"/>
      <c r="V129" s="30"/>
      <c r="AC129" s="31"/>
      <c r="AN129" s="32"/>
      <c r="AO129" s="57"/>
    </row>
    <row r="130" spans="6:41">
      <c r="F130" s="31"/>
      <c r="N130" s="30"/>
      <c r="V130" s="30"/>
      <c r="AC130" s="31"/>
      <c r="AN130" s="32"/>
      <c r="AO130" s="57"/>
    </row>
    <row r="131" spans="6:41">
      <c r="F131" s="31"/>
      <c r="N131" s="30"/>
      <c r="V131" s="30"/>
      <c r="AC131" s="31"/>
      <c r="AN131" s="32"/>
      <c r="AO131" s="57"/>
    </row>
    <row r="132" spans="6:41">
      <c r="F132" s="31"/>
      <c r="N132" s="30"/>
      <c r="V132" s="30"/>
      <c r="AC132" s="31"/>
      <c r="AN132" s="32"/>
      <c r="AO132" s="57"/>
    </row>
    <row r="133" spans="6:41">
      <c r="F133" s="31"/>
      <c r="N133" s="30"/>
      <c r="V133" s="30"/>
      <c r="AC133" s="31"/>
      <c r="AN133" s="32"/>
      <c r="AO133" s="57"/>
    </row>
    <row r="134" spans="6:41">
      <c r="F134" s="31"/>
      <c r="N134" s="30"/>
      <c r="V134" s="30"/>
      <c r="AC134" s="31"/>
      <c r="AN134" s="32"/>
      <c r="AO134" s="57"/>
    </row>
    <row r="135" spans="6:41">
      <c r="F135" s="31"/>
      <c r="N135" s="30"/>
      <c r="V135" s="30"/>
      <c r="AC135" s="31"/>
      <c r="AN135" s="32"/>
      <c r="AO135" s="57"/>
    </row>
    <row r="136" spans="6:41">
      <c r="F136" s="31"/>
      <c r="N136" s="30"/>
      <c r="V136" s="30"/>
      <c r="AC136" s="31"/>
      <c r="AN136" s="32"/>
      <c r="AO136" s="57"/>
    </row>
    <row r="137" spans="6:41">
      <c r="F137" s="31"/>
      <c r="N137" s="30"/>
      <c r="V137" s="30"/>
      <c r="AC137" s="31"/>
      <c r="AN137" s="32"/>
      <c r="AO137" s="57"/>
    </row>
    <row r="138" spans="6:41">
      <c r="F138" s="31"/>
      <c r="N138" s="30"/>
      <c r="V138" s="30"/>
      <c r="AC138" s="31"/>
      <c r="AN138" s="32"/>
      <c r="AO138" s="57"/>
    </row>
    <row r="139" spans="6:41">
      <c r="F139" s="31"/>
      <c r="N139" s="30"/>
      <c r="V139" s="30"/>
      <c r="AC139" s="31"/>
      <c r="AN139" s="32"/>
      <c r="AO139" s="57"/>
    </row>
    <row r="140" spans="6:41">
      <c r="F140" s="31"/>
      <c r="N140" s="30"/>
      <c r="V140" s="30"/>
      <c r="AC140" s="31"/>
      <c r="AN140" s="32"/>
      <c r="AO140" s="57"/>
    </row>
    <row r="141" spans="6:41">
      <c r="F141" s="31"/>
      <c r="N141" s="30"/>
      <c r="V141" s="30"/>
      <c r="AC141" s="31"/>
      <c r="AN141" s="32"/>
      <c r="AO141" s="57"/>
    </row>
    <row r="142" spans="6:41">
      <c r="F142" s="31"/>
      <c r="N142" s="30"/>
      <c r="V142" s="30"/>
      <c r="AC142" s="31"/>
      <c r="AN142" s="32"/>
      <c r="AO142" s="57"/>
    </row>
    <row r="143" spans="6:41">
      <c r="F143" s="31"/>
      <c r="N143" s="30"/>
      <c r="V143" s="30"/>
      <c r="AC143" s="31"/>
      <c r="AN143" s="32"/>
      <c r="AO143" s="57"/>
    </row>
    <row r="144" spans="6:41">
      <c r="F144" s="31"/>
      <c r="N144" s="30"/>
      <c r="V144" s="30"/>
      <c r="AC144" s="31"/>
      <c r="AN144" s="32"/>
      <c r="AO144" s="57"/>
    </row>
    <row r="145" spans="6:41">
      <c r="F145" s="31"/>
      <c r="N145" s="30"/>
      <c r="V145" s="30"/>
      <c r="AC145" s="31"/>
      <c r="AN145" s="32"/>
      <c r="AO145" s="57"/>
    </row>
    <row r="146" spans="6:41">
      <c r="F146" s="31"/>
      <c r="N146" s="30"/>
      <c r="V146" s="30"/>
      <c r="AC146" s="31"/>
      <c r="AN146" s="32"/>
      <c r="AO146" s="57"/>
    </row>
    <row r="147" spans="6:41">
      <c r="F147" s="31"/>
      <c r="N147" s="30"/>
      <c r="V147" s="30"/>
      <c r="AC147" s="31"/>
      <c r="AN147" s="32"/>
      <c r="AO147" s="57"/>
    </row>
    <row r="148" spans="6:41">
      <c r="F148" s="31"/>
      <c r="N148" s="30"/>
      <c r="V148" s="30"/>
      <c r="AC148" s="31"/>
      <c r="AN148" s="32"/>
      <c r="AO148" s="57"/>
    </row>
    <row r="149" spans="6:41">
      <c r="F149" s="31"/>
      <c r="N149" s="30"/>
      <c r="V149" s="30"/>
      <c r="AC149" s="31"/>
      <c r="AN149" s="32"/>
      <c r="AO149" s="57"/>
    </row>
    <row r="150" spans="6:41">
      <c r="F150" s="31"/>
      <c r="N150" s="30"/>
      <c r="V150" s="30"/>
      <c r="AC150" s="31"/>
      <c r="AN150" s="32"/>
      <c r="AO150" s="57"/>
    </row>
    <row r="151" spans="6:41">
      <c r="F151" s="31"/>
      <c r="N151" s="30"/>
      <c r="V151" s="30"/>
      <c r="AC151" s="31"/>
      <c r="AN151" s="32"/>
      <c r="AO151" s="57"/>
    </row>
    <row r="152" spans="6:41">
      <c r="F152" s="31"/>
      <c r="N152" s="30"/>
      <c r="V152" s="30"/>
      <c r="AC152" s="31"/>
      <c r="AN152" s="32"/>
      <c r="AO152" s="57"/>
    </row>
    <row r="153" spans="6:41">
      <c r="F153" s="31"/>
      <c r="N153" s="30"/>
      <c r="V153" s="30"/>
      <c r="AC153" s="31"/>
      <c r="AN153" s="32"/>
      <c r="AO153" s="57"/>
    </row>
    <row r="154" spans="6:41">
      <c r="F154" s="31"/>
      <c r="N154" s="30"/>
      <c r="V154" s="30"/>
      <c r="AC154" s="31"/>
      <c r="AN154" s="32"/>
      <c r="AO154" s="57"/>
    </row>
    <row r="155" spans="6:41">
      <c r="F155" s="31"/>
      <c r="N155" s="30"/>
      <c r="V155" s="30"/>
      <c r="AC155" s="31"/>
      <c r="AN155" s="32"/>
      <c r="AO155" s="57"/>
    </row>
    <row r="156" spans="6:41">
      <c r="F156" s="31"/>
      <c r="N156" s="30"/>
      <c r="V156" s="30"/>
      <c r="AC156" s="31"/>
      <c r="AN156" s="32"/>
      <c r="AO156" s="57"/>
    </row>
    <row r="157" spans="6:41">
      <c r="F157" s="31"/>
      <c r="N157" s="30"/>
      <c r="V157" s="30"/>
      <c r="AC157" s="31"/>
      <c r="AN157" s="32"/>
      <c r="AO157" s="57"/>
    </row>
    <row r="158" spans="6:41">
      <c r="F158" s="31"/>
      <c r="N158" s="30"/>
      <c r="V158" s="30"/>
      <c r="AC158" s="31"/>
      <c r="AN158" s="32"/>
      <c r="AO158" s="57"/>
    </row>
    <row r="159" spans="6:41">
      <c r="F159" s="31"/>
      <c r="N159" s="30"/>
      <c r="V159" s="30"/>
      <c r="AC159" s="31"/>
      <c r="AN159" s="32"/>
      <c r="AO159" s="57"/>
    </row>
    <row r="160" spans="6:41">
      <c r="F160" s="31"/>
      <c r="N160" s="30"/>
      <c r="V160" s="30"/>
      <c r="AC160" s="31"/>
      <c r="AN160" s="32"/>
      <c r="AO160" s="57"/>
    </row>
    <row r="161" spans="6:41">
      <c r="F161" s="31"/>
      <c r="N161" s="30"/>
      <c r="V161" s="30"/>
      <c r="AC161" s="31"/>
      <c r="AN161" s="32"/>
      <c r="AO161" s="57"/>
    </row>
    <row r="162" spans="6:41">
      <c r="F162" s="31"/>
      <c r="N162" s="30"/>
      <c r="V162" s="30"/>
      <c r="AC162" s="31"/>
      <c r="AN162" s="32"/>
      <c r="AO162" s="57"/>
    </row>
    <row r="163" spans="6:41">
      <c r="F163" s="31"/>
      <c r="N163" s="30"/>
      <c r="V163" s="30"/>
      <c r="AC163" s="31"/>
      <c r="AN163" s="32"/>
      <c r="AO163" s="57"/>
    </row>
    <row r="164" spans="6:41">
      <c r="F164" s="31"/>
      <c r="N164" s="30"/>
      <c r="V164" s="30"/>
      <c r="AC164" s="31"/>
      <c r="AN164" s="32"/>
      <c r="AO164" s="57"/>
    </row>
    <row r="165" spans="6:41">
      <c r="F165" s="31"/>
      <c r="N165" s="30"/>
      <c r="V165" s="30"/>
      <c r="AC165" s="31"/>
      <c r="AN165" s="32"/>
      <c r="AO165" s="57"/>
    </row>
    <row r="166" spans="6:41">
      <c r="F166" s="31"/>
      <c r="N166" s="30"/>
      <c r="V166" s="30"/>
      <c r="AC166" s="31"/>
      <c r="AN166" s="32"/>
      <c r="AO166" s="57"/>
    </row>
    <row r="167" spans="6:41">
      <c r="F167" s="31"/>
      <c r="N167" s="30"/>
      <c r="V167" s="30"/>
      <c r="AC167" s="31"/>
      <c r="AN167" s="32"/>
      <c r="AO167" s="57"/>
    </row>
    <row r="168" spans="6:41">
      <c r="F168" s="31"/>
      <c r="N168" s="30"/>
      <c r="V168" s="30"/>
      <c r="AC168" s="31"/>
      <c r="AN168" s="32"/>
      <c r="AO168" s="57"/>
    </row>
    <row r="169" spans="6:41">
      <c r="F169" s="31"/>
      <c r="N169" s="30"/>
      <c r="V169" s="30"/>
      <c r="AC169" s="31"/>
      <c r="AN169" s="32"/>
      <c r="AO169" s="57"/>
    </row>
    <row r="170" spans="6:41">
      <c r="F170" s="31"/>
      <c r="N170" s="30"/>
      <c r="V170" s="30"/>
      <c r="AC170" s="31"/>
      <c r="AN170" s="32"/>
      <c r="AO170" s="57"/>
    </row>
    <row r="171" spans="6:41">
      <c r="F171" s="31"/>
      <c r="N171" s="30"/>
      <c r="V171" s="30"/>
      <c r="AC171" s="31"/>
      <c r="AN171" s="32"/>
      <c r="AO171" s="57"/>
    </row>
    <row r="172" spans="6:41">
      <c r="F172" s="31"/>
      <c r="N172" s="30"/>
      <c r="V172" s="30"/>
      <c r="AC172" s="31"/>
      <c r="AN172" s="32"/>
      <c r="AO172" s="57"/>
    </row>
    <row r="173" spans="6:41">
      <c r="F173" s="31"/>
      <c r="N173" s="30"/>
      <c r="V173" s="30"/>
      <c r="AC173" s="31"/>
      <c r="AN173" s="32"/>
      <c r="AO173" s="57"/>
    </row>
    <row r="174" spans="6:41">
      <c r="F174" s="31"/>
      <c r="N174" s="30"/>
      <c r="V174" s="30"/>
      <c r="AC174" s="31"/>
      <c r="AN174" s="32"/>
      <c r="AO174" s="57"/>
    </row>
    <row r="175" spans="6:41">
      <c r="F175" s="31"/>
      <c r="N175" s="30"/>
      <c r="V175" s="30"/>
      <c r="AC175" s="31"/>
      <c r="AN175" s="32"/>
      <c r="AO175" s="57"/>
    </row>
    <row r="176" spans="6:41">
      <c r="F176" s="31"/>
      <c r="N176" s="30"/>
      <c r="V176" s="30"/>
      <c r="AC176" s="31"/>
      <c r="AN176" s="32"/>
      <c r="AO176" s="57"/>
    </row>
    <row r="177" spans="6:41">
      <c r="F177" s="31"/>
      <c r="N177" s="30"/>
      <c r="V177" s="30"/>
      <c r="AC177" s="31"/>
      <c r="AN177" s="32"/>
      <c r="AO177" s="57"/>
    </row>
    <row r="178" spans="6:41">
      <c r="F178" s="31"/>
      <c r="N178" s="30"/>
      <c r="V178" s="30"/>
      <c r="AC178" s="31"/>
      <c r="AN178" s="32"/>
      <c r="AO178" s="57"/>
    </row>
    <row r="179" spans="6:41">
      <c r="F179" s="31"/>
      <c r="N179" s="30"/>
      <c r="V179" s="30"/>
      <c r="AC179" s="31"/>
      <c r="AN179" s="32"/>
      <c r="AO179" s="57"/>
    </row>
    <row r="180" spans="6:41">
      <c r="F180" s="31"/>
      <c r="N180" s="30"/>
      <c r="V180" s="30"/>
      <c r="AC180" s="31"/>
      <c r="AN180" s="32"/>
      <c r="AO180" s="57"/>
    </row>
    <row r="181" spans="6:41">
      <c r="F181" s="31"/>
      <c r="N181" s="30"/>
      <c r="V181" s="30"/>
      <c r="AC181" s="31"/>
      <c r="AN181" s="32"/>
      <c r="AO181" s="57"/>
    </row>
    <row r="182" spans="6:41">
      <c r="F182" s="31"/>
      <c r="N182" s="30"/>
      <c r="V182" s="30"/>
      <c r="AC182" s="31"/>
      <c r="AN182" s="32"/>
      <c r="AO182" s="57"/>
    </row>
    <row r="183" spans="6:41">
      <c r="F183" s="31"/>
      <c r="N183" s="30"/>
      <c r="V183" s="30"/>
      <c r="AC183" s="31"/>
      <c r="AN183" s="32"/>
      <c r="AO183" s="57"/>
    </row>
    <row r="184" spans="6:41">
      <c r="F184" s="31"/>
      <c r="N184" s="30"/>
      <c r="V184" s="30"/>
      <c r="AC184" s="31"/>
      <c r="AN184" s="32"/>
      <c r="AO184" s="57"/>
    </row>
    <row r="185" spans="6:41">
      <c r="F185" s="31"/>
      <c r="N185" s="30"/>
      <c r="V185" s="30"/>
      <c r="AC185" s="31"/>
      <c r="AN185" s="32"/>
      <c r="AO185" s="57"/>
    </row>
    <row r="186" spans="6:41">
      <c r="F186" s="31"/>
      <c r="N186" s="30"/>
      <c r="V186" s="30"/>
      <c r="AC186" s="31"/>
      <c r="AN186" s="32"/>
      <c r="AO186" s="57"/>
    </row>
    <row r="187" spans="6:41">
      <c r="F187" s="31"/>
      <c r="N187" s="30"/>
      <c r="V187" s="30"/>
      <c r="AC187" s="31"/>
      <c r="AN187" s="32"/>
      <c r="AO187" s="57"/>
    </row>
    <row r="188" spans="6:41">
      <c r="F188" s="31"/>
      <c r="N188" s="30"/>
      <c r="V188" s="30"/>
      <c r="AC188" s="31"/>
      <c r="AN188" s="32"/>
      <c r="AO188" s="57"/>
    </row>
    <row r="189" spans="6:41">
      <c r="F189" s="31"/>
      <c r="N189" s="30"/>
      <c r="V189" s="30"/>
      <c r="AC189" s="31"/>
      <c r="AN189" s="32"/>
      <c r="AO189" s="57"/>
    </row>
    <row r="190" spans="6:41">
      <c r="F190" s="31"/>
      <c r="N190" s="30"/>
      <c r="V190" s="30"/>
      <c r="AC190" s="31"/>
      <c r="AN190" s="32"/>
      <c r="AO190" s="57"/>
    </row>
    <row r="191" spans="6:41">
      <c r="F191" s="31"/>
      <c r="N191" s="30"/>
      <c r="V191" s="30"/>
      <c r="AC191" s="31"/>
      <c r="AN191" s="32"/>
      <c r="AO191" s="57"/>
    </row>
    <row r="192" spans="6:41">
      <c r="F192" s="31"/>
      <c r="N192" s="30"/>
      <c r="V192" s="30"/>
      <c r="AC192" s="31"/>
      <c r="AN192" s="32"/>
      <c r="AO192" s="57"/>
    </row>
    <row r="193" spans="6:41">
      <c r="F193" s="31"/>
      <c r="N193" s="30"/>
      <c r="V193" s="30"/>
      <c r="AC193" s="31"/>
      <c r="AN193" s="32"/>
      <c r="AO193" s="57"/>
    </row>
    <row r="194" spans="6:41">
      <c r="F194" s="31"/>
      <c r="N194" s="30"/>
      <c r="V194" s="30"/>
      <c r="AC194" s="31"/>
      <c r="AN194" s="32"/>
      <c r="AO194" s="57"/>
    </row>
    <row r="195" spans="6:41">
      <c r="F195" s="31"/>
      <c r="N195" s="30"/>
      <c r="V195" s="30"/>
      <c r="AC195" s="31"/>
      <c r="AN195" s="32"/>
      <c r="AO195" s="57"/>
    </row>
    <row r="196" spans="6:41">
      <c r="F196" s="31"/>
      <c r="N196" s="30"/>
      <c r="V196" s="30"/>
      <c r="AC196" s="31"/>
      <c r="AN196" s="32"/>
      <c r="AO196" s="57"/>
    </row>
    <row r="197" spans="6:41">
      <c r="F197" s="31"/>
      <c r="N197" s="30"/>
      <c r="V197" s="30"/>
      <c r="AC197" s="31"/>
      <c r="AN197" s="32"/>
      <c r="AO197" s="57"/>
    </row>
    <row r="198" spans="6:41">
      <c r="F198" s="31"/>
      <c r="N198" s="30"/>
      <c r="V198" s="30"/>
      <c r="AC198" s="31"/>
      <c r="AN198" s="32"/>
      <c r="AO198" s="57"/>
    </row>
    <row r="199" spans="6:41">
      <c r="F199" s="31"/>
      <c r="N199" s="30"/>
      <c r="V199" s="30"/>
      <c r="AC199" s="31"/>
      <c r="AN199" s="32"/>
      <c r="AO199" s="57"/>
    </row>
    <row r="200" spans="6:41">
      <c r="F200" s="31"/>
      <c r="N200" s="30"/>
      <c r="V200" s="30"/>
      <c r="AC200" s="31"/>
      <c r="AN200" s="32"/>
      <c r="AO200" s="57"/>
    </row>
    <row r="201" spans="6:41">
      <c r="F201" s="31"/>
      <c r="N201" s="30"/>
      <c r="V201" s="30"/>
      <c r="AC201" s="31"/>
      <c r="AN201" s="32"/>
      <c r="AO201" s="57"/>
    </row>
    <row r="202" spans="6:41">
      <c r="F202" s="31"/>
      <c r="N202" s="30"/>
      <c r="V202" s="30"/>
      <c r="AC202" s="31"/>
      <c r="AN202" s="32"/>
      <c r="AO202" s="57"/>
    </row>
    <row r="203" spans="6:41">
      <c r="F203" s="31"/>
      <c r="N203" s="30"/>
      <c r="V203" s="30"/>
      <c r="AC203" s="31"/>
      <c r="AN203" s="32"/>
      <c r="AO203" s="57"/>
    </row>
    <row r="204" spans="6:41">
      <c r="F204" s="31"/>
      <c r="N204" s="30"/>
      <c r="V204" s="30"/>
      <c r="AC204" s="31"/>
      <c r="AN204" s="32"/>
      <c r="AO204" s="57"/>
    </row>
    <row r="205" spans="6:41">
      <c r="F205" s="31"/>
      <c r="N205" s="30"/>
      <c r="V205" s="30"/>
      <c r="AC205" s="31"/>
      <c r="AN205" s="32"/>
      <c r="AO205" s="57"/>
    </row>
    <row r="206" spans="6:41">
      <c r="F206" s="31"/>
      <c r="N206" s="30"/>
      <c r="V206" s="30"/>
      <c r="AC206" s="31"/>
      <c r="AN206" s="32"/>
      <c r="AO206" s="57"/>
    </row>
    <row r="207" spans="6:41">
      <c r="F207" s="31"/>
      <c r="N207" s="30"/>
      <c r="V207" s="30"/>
      <c r="AC207" s="31"/>
      <c r="AN207" s="32"/>
      <c r="AO207" s="57"/>
    </row>
    <row r="208" spans="6:41">
      <c r="F208" s="31"/>
      <c r="N208" s="30"/>
      <c r="V208" s="30"/>
      <c r="AC208" s="31"/>
      <c r="AN208" s="32"/>
      <c r="AO208" s="57"/>
    </row>
    <row r="209" spans="6:41">
      <c r="F209" s="31"/>
      <c r="N209" s="30"/>
      <c r="V209" s="30"/>
      <c r="AC209" s="31"/>
      <c r="AN209" s="32"/>
      <c r="AO209" s="57"/>
    </row>
    <row r="210" spans="6:41">
      <c r="F210" s="31"/>
      <c r="N210" s="30"/>
      <c r="V210" s="30"/>
      <c r="AC210" s="31"/>
      <c r="AN210" s="32"/>
      <c r="AO210" s="57"/>
    </row>
    <row r="211" spans="6:41">
      <c r="F211" s="31"/>
      <c r="N211" s="30"/>
      <c r="V211" s="30"/>
      <c r="AC211" s="31"/>
      <c r="AN211" s="32"/>
      <c r="AO211" s="57"/>
    </row>
    <row r="212" spans="6:41">
      <c r="F212" s="31"/>
      <c r="N212" s="30"/>
      <c r="V212" s="30"/>
      <c r="AC212" s="31"/>
      <c r="AN212" s="32"/>
      <c r="AO212" s="57"/>
    </row>
    <row r="213" spans="6:41">
      <c r="F213" s="31"/>
      <c r="N213" s="30"/>
      <c r="V213" s="30"/>
      <c r="AC213" s="31"/>
      <c r="AN213" s="32"/>
      <c r="AO213" s="57"/>
    </row>
    <row r="214" spans="6:41">
      <c r="F214" s="31"/>
      <c r="N214" s="30"/>
      <c r="V214" s="30"/>
      <c r="AC214" s="31"/>
      <c r="AN214" s="32"/>
      <c r="AO214" s="57"/>
    </row>
    <row r="215" spans="6:41">
      <c r="F215" s="31"/>
      <c r="N215" s="30"/>
      <c r="V215" s="30"/>
      <c r="AC215" s="31"/>
      <c r="AN215" s="32"/>
      <c r="AO215" s="57"/>
    </row>
    <row r="216" spans="6:41">
      <c r="F216" s="31"/>
      <c r="N216" s="30"/>
      <c r="V216" s="30"/>
      <c r="AC216" s="31"/>
      <c r="AN216" s="32"/>
      <c r="AO216" s="57"/>
    </row>
    <row r="217" spans="6:41">
      <c r="F217" s="31"/>
      <c r="N217" s="30"/>
      <c r="V217" s="30"/>
      <c r="AC217" s="31"/>
      <c r="AN217" s="32"/>
      <c r="AO217" s="57"/>
    </row>
    <row r="218" spans="6:41">
      <c r="F218" s="31"/>
      <c r="N218" s="30"/>
      <c r="V218" s="30"/>
      <c r="AC218" s="31"/>
      <c r="AN218" s="32"/>
      <c r="AO218" s="57"/>
    </row>
    <row r="219" spans="6:41">
      <c r="F219" s="31"/>
      <c r="N219" s="30"/>
      <c r="V219" s="30"/>
      <c r="AC219" s="31"/>
      <c r="AN219" s="32"/>
      <c r="AO219" s="57"/>
    </row>
    <row r="220" spans="6:41">
      <c r="F220" s="31"/>
      <c r="N220" s="30"/>
      <c r="V220" s="30"/>
      <c r="AC220" s="31"/>
      <c r="AN220" s="32"/>
      <c r="AO220" s="57"/>
    </row>
    <row r="221" spans="6:41">
      <c r="F221" s="31"/>
      <c r="N221" s="30"/>
      <c r="V221" s="30"/>
      <c r="AC221" s="31"/>
      <c r="AN221" s="32"/>
      <c r="AO221" s="57"/>
    </row>
    <row r="222" spans="6:41">
      <c r="F222" s="31"/>
      <c r="N222" s="30"/>
      <c r="V222" s="30"/>
      <c r="AC222" s="31"/>
      <c r="AN222" s="32"/>
      <c r="AO222" s="57"/>
    </row>
    <row r="223" spans="6:41">
      <c r="F223" s="31"/>
      <c r="N223" s="30"/>
      <c r="V223" s="30"/>
      <c r="AC223" s="31"/>
      <c r="AN223" s="32"/>
      <c r="AO223" s="57"/>
    </row>
    <row r="224" spans="6:41">
      <c r="F224" s="31"/>
      <c r="N224" s="30"/>
      <c r="V224" s="30"/>
      <c r="AC224" s="31"/>
      <c r="AN224" s="32"/>
      <c r="AO224" s="57"/>
    </row>
    <row r="225" spans="6:41">
      <c r="F225" s="31"/>
      <c r="N225" s="30"/>
      <c r="V225" s="30"/>
      <c r="AC225" s="31"/>
      <c r="AN225" s="32"/>
      <c r="AO225" s="57"/>
    </row>
    <row r="226" spans="6:41">
      <c r="F226" s="31"/>
      <c r="N226" s="30"/>
      <c r="V226" s="30"/>
      <c r="AC226" s="31"/>
      <c r="AN226" s="32"/>
      <c r="AO226" s="57"/>
    </row>
    <row r="227" spans="6:41">
      <c r="F227" s="31"/>
      <c r="N227" s="30"/>
      <c r="V227" s="30"/>
      <c r="AC227" s="31"/>
      <c r="AN227" s="32"/>
      <c r="AO227" s="57"/>
    </row>
    <row r="228" spans="6:41">
      <c r="F228" s="31"/>
      <c r="N228" s="30"/>
      <c r="V228" s="30"/>
      <c r="AC228" s="31"/>
      <c r="AN228" s="32"/>
      <c r="AO228" s="57"/>
    </row>
    <row r="229" spans="6:41">
      <c r="F229" s="31"/>
      <c r="N229" s="30"/>
      <c r="V229" s="30"/>
      <c r="AC229" s="31"/>
      <c r="AN229" s="32"/>
      <c r="AO229" s="57"/>
    </row>
    <row r="230" spans="6:41">
      <c r="F230" s="31"/>
      <c r="N230" s="30"/>
      <c r="V230" s="30"/>
      <c r="AC230" s="31"/>
      <c r="AN230" s="32"/>
      <c r="AO230" s="57"/>
    </row>
    <row r="231" spans="6:41">
      <c r="F231" s="31"/>
      <c r="N231" s="30"/>
      <c r="V231" s="30"/>
      <c r="AC231" s="31"/>
      <c r="AN231" s="32"/>
      <c r="AO231" s="57"/>
    </row>
    <row r="232" spans="6:41">
      <c r="F232" s="31"/>
      <c r="N232" s="30"/>
      <c r="V232" s="30"/>
      <c r="AC232" s="31"/>
      <c r="AN232" s="32"/>
      <c r="AO232" s="57"/>
    </row>
    <row r="233" spans="6:41">
      <c r="F233" s="31"/>
      <c r="N233" s="30"/>
      <c r="V233" s="30"/>
      <c r="AC233" s="31"/>
      <c r="AN233" s="32"/>
      <c r="AO233" s="57"/>
    </row>
    <row r="234" spans="6:41">
      <c r="F234" s="31"/>
      <c r="N234" s="30"/>
      <c r="V234" s="30"/>
      <c r="AC234" s="31"/>
      <c r="AN234" s="32"/>
      <c r="AO234" s="57"/>
    </row>
    <row r="235" spans="6:41">
      <c r="F235" s="31"/>
      <c r="N235" s="30"/>
      <c r="V235" s="30"/>
      <c r="AC235" s="31"/>
      <c r="AN235" s="32"/>
      <c r="AO235" s="57"/>
    </row>
    <row r="236" spans="6:41">
      <c r="F236" s="31"/>
      <c r="N236" s="30"/>
      <c r="V236" s="30"/>
      <c r="AC236" s="31"/>
      <c r="AN236" s="32"/>
      <c r="AO236" s="57"/>
    </row>
    <row r="237" spans="6:41">
      <c r="F237" s="31"/>
      <c r="N237" s="30"/>
      <c r="V237" s="30"/>
      <c r="AC237" s="31"/>
      <c r="AN237" s="32"/>
      <c r="AO237" s="57"/>
    </row>
    <row r="238" spans="6:41">
      <c r="F238" s="31"/>
      <c r="N238" s="30"/>
      <c r="V238" s="30"/>
      <c r="AC238" s="31"/>
      <c r="AN238" s="32"/>
      <c r="AO238" s="57"/>
    </row>
    <row r="239" spans="6:41">
      <c r="F239" s="31"/>
      <c r="N239" s="30"/>
      <c r="V239" s="30"/>
      <c r="AC239" s="31"/>
      <c r="AN239" s="32"/>
      <c r="AO239" s="57"/>
    </row>
    <row r="240" spans="6:41">
      <c r="F240" s="31"/>
      <c r="N240" s="30"/>
      <c r="V240" s="30"/>
      <c r="AC240" s="31"/>
      <c r="AN240" s="32"/>
      <c r="AO240" s="57"/>
    </row>
    <row r="241" spans="6:41">
      <c r="F241" s="31"/>
      <c r="N241" s="30"/>
      <c r="V241" s="30"/>
      <c r="AC241" s="31"/>
      <c r="AN241" s="32"/>
      <c r="AO241" s="57"/>
    </row>
    <row r="242" spans="6:41">
      <c r="F242" s="31"/>
      <c r="N242" s="30"/>
      <c r="V242" s="30"/>
      <c r="AC242" s="31"/>
      <c r="AN242" s="32"/>
      <c r="AO242" s="57"/>
    </row>
    <row r="243" spans="6:41">
      <c r="F243" s="31"/>
      <c r="N243" s="30"/>
      <c r="V243" s="30"/>
      <c r="AC243" s="31"/>
      <c r="AN243" s="32"/>
      <c r="AO243" s="57"/>
    </row>
    <row r="244" spans="6:41">
      <c r="F244" s="31"/>
      <c r="N244" s="30"/>
      <c r="V244" s="30"/>
      <c r="AC244" s="31"/>
      <c r="AN244" s="32"/>
      <c r="AO244" s="57"/>
    </row>
    <row r="245" spans="6:41">
      <c r="F245" s="31"/>
      <c r="N245" s="30"/>
      <c r="V245" s="30"/>
      <c r="AC245" s="31"/>
      <c r="AN245" s="32"/>
      <c r="AO245" s="57"/>
    </row>
    <row r="246" spans="6:41">
      <c r="F246" s="31"/>
      <c r="N246" s="30"/>
      <c r="V246" s="30"/>
      <c r="AC246" s="31"/>
      <c r="AN246" s="32"/>
      <c r="AO246" s="57"/>
    </row>
    <row r="247" spans="6:41">
      <c r="F247" s="31"/>
      <c r="N247" s="30"/>
      <c r="V247" s="30"/>
      <c r="AC247" s="31"/>
      <c r="AN247" s="32"/>
      <c r="AO247" s="57"/>
    </row>
    <row r="248" spans="6:41">
      <c r="F248" s="31"/>
      <c r="N248" s="30"/>
      <c r="V248" s="30"/>
      <c r="AC248" s="31"/>
      <c r="AN248" s="32"/>
      <c r="AO248" s="57"/>
    </row>
    <row r="249" spans="6:41">
      <c r="F249" s="31"/>
      <c r="N249" s="30"/>
      <c r="V249" s="30"/>
      <c r="AC249" s="31"/>
      <c r="AN249" s="32"/>
      <c r="AO249" s="57"/>
    </row>
    <row r="250" spans="6:41">
      <c r="F250" s="31"/>
      <c r="N250" s="30"/>
      <c r="V250" s="30"/>
      <c r="AC250" s="31"/>
      <c r="AN250" s="32"/>
      <c r="AO250" s="57"/>
    </row>
    <row r="251" spans="6:41">
      <c r="F251" s="31"/>
      <c r="N251" s="30"/>
      <c r="V251" s="30"/>
      <c r="AC251" s="31"/>
      <c r="AN251" s="32"/>
      <c r="AO251" s="57"/>
    </row>
    <row r="252" spans="6:41">
      <c r="F252" s="31"/>
      <c r="N252" s="30"/>
      <c r="V252" s="30"/>
      <c r="AC252" s="31"/>
      <c r="AN252" s="32"/>
      <c r="AO252" s="57"/>
    </row>
    <row r="253" spans="6:41">
      <c r="F253" s="31"/>
      <c r="N253" s="30"/>
      <c r="V253" s="30"/>
      <c r="AC253" s="31"/>
      <c r="AN253" s="32"/>
      <c r="AO253" s="57"/>
    </row>
    <row r="254" spans="6:41">
      <c r="F254" s="31"/>
      <c r="N254" s="30"/>
      <c r="V254" s="30"/>
      <c r="AC254" s="31"/>
      <c r="AN254" s="32"/>
      <c r="AO254" s="57"/>
    </row>
    <row r="255" spans="6:41">
      <c r="F255" s="31"/>
      <c r="N255" s="30"/>
      <c r="V255" s="30"/>
      <c r="AC255" s="31"/>
      <c r="AN255" s="32"/>
      <c r="AO255" s="57"/>
    </row>
    <row r="256" spans="6:41">
      <c r="F256" s="31"/>
      <c r="N256" s="30"/>
      <c r="V256" s="30"/>
      <c r="AC256" s="31"/>
      <c r="AN256" s="32"/>
      <c r="AO256" s="57"/>
    </row>
    <row r="257" spans="6:41">
      <c r="F257" s="31"/>
      <c r="N257" s="30"/>
      <c r="V257" s="30"/>
      <c r="AC257" s="31"/>
      <c r="AN257" s="32"/>
      <c r="AO257" s="57"/>
    </row>
    <row r="258" spans="6:41">
      <c r="F258" s="31"/>
      <c r="N258" s="30"/>
      <c r="V258" s="30"/>
      <c r="AC258" s="31"/>
      <c r="AN258" s="32"/>
      <c r="AO258" s="57"/>
    </row>
    <row r="259" spans="6:41">
      <c r="F259" s="31"/>
      <c r="N259" s="30"/>
      <c r="V259" s="30"/>
      <c r="AC259" s="31"/>
      <c r="AN259" s="32"/>
      <c r="AO259" s="57"/>
    </row>
    <row r="260" spans="6:41">
      <c r="F260" s="31"/>
      <c r="N260" s="30"/>
      <c r="V260" s="30"/>
      <c r="AC260" s="31"/>
      <c r="AN260" s="32"/>
      <c r="AO260" s="57"/>
    </row>
    <row r="261" spans="6:41">
      <c r="F261" s="31"/>
      <c r="N261" s="30"/>
      <c r="V261" s="30"/>
      <c r="AC261" s="31"/>
      <c r="AN261" s="32"/>
      <c r="AO261" s="57"/>
    </row>
    <row r="262" spans="6:41">
      <c r="F262" s="31"/>
      <c r="N262" s="30"/>
      <c r="V262" s="30"/>
      <c r="AC262" s="31"/>
      <c r="AN262" s="32"/>
      <c r="AO262" s="57"/>
    </row>
    <row r="263" spans="6:41">
      <c r="F263" s="31"/>
      <c r="N263" s="30"/>
      <c r="V263" s="30"/>
      <c r="AC263" s="31"/>
      <c r="AN263" s="32"/>
      <c r="AO263" s="57"/>
    </row>
    <row r="264" spans="6:41">
      <c r="F264" s="31"/>
      <c r="N264" s="30"/>
      <c r="V264" s="30"/>
      <c r="AC264" s="31"/>
      <c r="AN264" s="32"/>
      <c r="AO264" s="57"/>
    </row>
    <row r="265" spans="6:41">
      <c r="F265" s="31"/>
      <c r="N265" s="30"/>
      <c r="V265" s="30"/>
      <c r="AC265" s="31"/>
      <c r="AN265" s="32"/>
      <c r="AO265" s="57"/>
    </row>
    <row r="266" spans="6:41">
      <c r="F266" s="31"/>
      <c r="N266" s="30"/>
      <c r="V266" s="30"/>
      <c r="AC266" s="31"/>
      <c r="AN266" s="32"/>
      <c r="AO266" s="57"/>
    </row>
    <row r="267" spans="6:41">
      <c r="F267" s="31"/>
      <c r="N267" s="30"/>
      <c r="V267" s="30"/>
      <c r="AC267" s="31"/>
      <c r="AN267" s="32"/>
      <c r="AO267" s="57"/>
    </row>
    <row r="268" spans="6:41">
      <c r="F268" s="31"/>
      <c r="N268" s="30"/>
      <c r="V268" s="30"/>
      <c r="AC268" s="31"/>
      <c r="AN268" s="32"/>
      <c r="AO268" s="57"/>
    </row>
    <row r="269" spans="6:41">
      <c r="F269" s="31"/>
      <c r="N269" s="30"/>
      <c r="V269" s="30"/>
      <c r="AC269" s="31"/>
      <c r="AN269" s="32"/>
      <c r="AO269" s="57"/>
    </row>
    <row r="270" spans="6:41">
      <c r="F270" s="31"/>
      <c r="N270" s="30"/>
      <c r="V270" s="30"/>
      <c r="AC270" s="31"/>
      <c r="AN270" s="32"/>
      <c r="AO270" s="57"/>
    </row>
    <row r="271" spans="6:41">
      <c r="F271" s="31"/>
      <c r="N271" s="30"/>
      <c r="V271" s="30"/>
      <c r="AC271" s="31"/>
      <c r="AN271" s="32"/>
      <c r="AO271" s="57"/>
    </row>
    <row r="272" spans="6:41">
      <c r="F272" s="31"/>
      <c r="N272" s="30"/>
      <c r="V272" s="30"/>
      <c r="AC272" s="31"/>
      <c r="AN272" s="32"/>
      <c r="AO272" s="57"/>
    </row>
    <row r="273" spans="6:41">
      <c r="F273" s="31"/>
      <c r="N273" s="30"/>
      <c r="V273" s="30"/>
      <c r="AC273" s="31"/>
      <c r="AN273" s="32"/>
      <c r="AO273" s="57"/>
    </row>
    <row r="274" spans="6:41">
      <c r="F274" s="31"/>
      <c r="N274" s="30"/>
      <c r="V274" s="30"/>
      <c r="AC274" s="31"/>
      <c r="AN274" s="32"/>
      <c r="AO274" s="57"/>
    </row>
    <row r="275" spans="6:41">
      <c r="F275" s="31"/>
      <c r="N275" s="30"/>
      <c r="V275" s="30"/>
      <c r="AC275" s="31"/>
      <c r="AN275" s="32"/>
      <c r="AO275" s="57"/>
    </row>
    <row r="276" spans="6:41">
      <c r="F276" s="31"/>
      <c r="N276" s="30"/>
      <c r="V276" s="30"/>
      <c r="AC276" s="31"/>
      <c r="AN276" s="32"/>
      <c r="AO276" s="57"/>
    </row>
    <row r="277" spans="6:41">
      <c r="F277" s="31"/>
      <c r="N277" s="30"/>
      <c r="V277" s="30"/>
      <c r="AC277" s="31"/>
      <c r="AN277" s="32"/>
      <c r="AO277" s="57"/>
    </row>
    <row r="278" spans="6:41">
      <c r="F278" s="31"/>
      <c r="N278" s="30"/>
      <c r="V278" s="30"/>
      <c r="AC278" s="31"/>
      <c r="AN278" s="32"/>
      <c r="AO278" s="57"/>
    </row>
    <row r="279" spans="6:41">
      <c r="F279" s="31"/>
      <c r="N279" s="30"/>
      <c r="V279" s="30"/>
      <c r="AC279" s="31"/>
      <c r="AN279" s="32"/>
      <c r="AO279" s="57"/>
    </row>
    <row r="280" spans="6:41">
      <c r="F280" s="31"/>
      <c r="N280" s="30"/>
      <c r="V280" s="30"/>
      <c r="AC280" s="31"/>
      <c r="AN280" s="32"/>
      <c r="AO280" s="57"/>
    </row>
    <row r="281" spans="6:41">
      <c r="F281" s="31"/>
      <c r="N281" s="30"/>
      <c r="V281" s="30"/>
      <c r="AC281" s="31"/>
      <c r="AN281" s="32"/>
      <c r="AO281" s="57"/>
    </row>
    <row r="282" spans="6:41">
      <c r="F282" s="31"/>
      <c r="N282" s="30"/>
      <c r="V282" s="30"/>
      <c r="AC282" s="31"/>
      <c r="AN282" s="32"/>
      <c r="AO282" s="57"/>
    </row>
    <row r="283" spans="6:41">
      <c r="F283" s="31"/>
      <c r="N283" s="30"/>
      <c r="V283" s="30"/>
      <c r="AC283" s="31"/>
      <c r="AN283" s="32"/>
      <c r="AO283" s="57"/>
    </row>
    <row r="284" spans="6:41">
      <c r="F284" s="31"/>
      <c r="N284" s="30"/>
      <c r="V284" s="30"/>
      <c r="AC284" s="31"/>
      <c r="AN284" s="32"/>
      <c r="AO284" s="57"/>
    </row>
    <row r="285" spans="6:41">
      <c r="F285" s="31"/>
      <c r="N285" s="30"/>
      <c r="V285" s="30"/>
      <c r="AC285" s="31"/>
      <c r="AN285" s="32"/>
      <c r="AO285" s="57"/>
    </row>
    <row r="286" spans="6:41">
      <c r="F286" s="31"/>
      <c r="N286" s="30"/>
      <c r="V286" s="30"/>
      <c r="AC286" s="31"/>
      <c r="AN286" s="32"/>
      <c r="AO286" s="57"/>
    </row>
    <row r="287" spans="6:41">
      <c r="F287" s="31"/>
      <c r="N287" s="30"/>
      <c r="V287" s="30"/>
      <c r="AC287" s="31"/>
      <c r="AN287" s="32"/>
      <c r="AO287" s="57"/>
    </row>
    <row r="288" spans="6:41">
      <c r="F288" s="31"/>
      <c r="N288" s="30"/>
      <c r="V288" s="30"/>
      <c r="AC288" s="31"/>
      <c r="AN288" s="32"/>
      <c r="AO288" s="57"/>
    </row>
    <row r="289" spans="6:41">
      <c r="F289" s="31"/>
      <c r="N289" s="30"/>
      <c r="V289" s="30"/>
      <c r="AC289" s="31"/>
      <c r="AN289" s="32"/>
      <c r="AO289" s="57"/>
    </row>
    <row r="290" spans="6:41">
      <c r="F290" s="31"/>
      <c r="N290" s="30"/>
      <c r="V290" s="30"/>
      <c r="AC290" s="31"/>
      <c r="AN290" s="32"/>
      <c r="AO290" s="57"/>
    </row>
    <row r="291" spans="6:41">
      <c r="F291" s="31"/>
      <c r="N291" s="30"/>
      <c r="V291" s="30"/>
      <c r="AC291" s="31"/>
      <c r="AN291" s="32"/>
      <c r="AO291" s="57"/>
    </row>
    <row r="292" spans="6:41">
      <c r="F292" s="31"/>
      <c r="N292" s="30"/>
      <c r="V292" s="30"/>
      <c r="AC292" s="31"/>
      <c r="AN292" s="32"/>
      <c r="AO292" s="57"/>
    </row>
    <row r="293" spans="6:41">
      <c r="F293" s="31"/>
      <c r="N293" s="30"/>
      <c r="V293" s="30"/>
      <c r="AC293" s="31"/>
      <c r="AN293" s="32"/>
      <c r="AO293" s="57"/>
    </row>
    <row r="294" spans="6:41">
      <c r="F294" s="31"/>
      <c r="N294" s="30"/>
      <c r="V294" s="30"/>
      <c r="AC294" s="31"/>
      <c r="AN294" s="32"/>
      <c r="AO294" s="57"/>
    </row>
    <row r="295" spans="6:41">
      <c r="F295" s="31"/>
      <c r="N295" s="30"/>
      <c r="V295" s="30"/>
      <c r="AC295" s="31"/>
      <c r="AN295" s="32"/>
      <c r="AO295" s="57"/>
    </row>
    <row r="296" spans="6:41">
      <c r="F296" s="31"/>
      <c r="N296" s="30"/>
      <c r="V296" s="30"/>
      <c r="AC296" s="31"/>
      <c r="AN296" s="32"/>
      <c r="AO296" s="57"/>
    </row>
    <row r="297" spans="6:41">
      <c r="F297" s="31"/>
      <c r="N297" s="30"/>
      <c r="V297" s="30"/>
      <c r="AC297" s="31"/>
      <c r="AN297" s="32"/>
      <c r="AO297" s="57"/>
    </row>
    <row r="298" spans="6:41">
      <c r="F298" s="31"/>
      <c r="N298" s="30"/>
      <c r="V298" s="30"/>
      <c r="AC298" s="31"/>
      <c r="AN298" s="32"/>
      <c r="AO298" s="57"/>
    </row>
    <row r="299" spans="6:41">
      <c r="F299" s="31"/>
      <c r="N299" s="30"/>
      <c r="V299" s="30"/>
      <c r="AC299" s="31"/>
      <c r="AN299" s="32"/>
      <c r="AO299" s="57"/>
    </row>
    <row r="300" spans="6:41">
      <c r="F300" s="31"/>
      <c r="N300" s="30"/>
      <c r="V300" s="30"/>
      <c r="AC300" s="31"/>
      <c r="AN300" s="32"/>
      <c r="AO300" s="57"/>
    </row>
    <row r="301" spans="6:41">
      <c r="F301" s="31"/>
      <c r="N301" s="30"/>
      <c r="V301" s="30"/>
      <c r="AC301" s="31"/>
      <c r="AN301" s="32"/>
      <c r="AO301" s="57"/>
    </row>
    <row r="302" spans="6:41">
      <c r="F302" s="31"/>
      <c r="N302" s="30"/>
      <c r="V302" s="30"/>
      <c r="AC302" s="31"/>
      <c r="AN302" s="32"/>
      <c r="AO302" s="57"/>
    </row>
    <row r="303" spans="6:41">
      <c r="F303" s="31"/>
      <c r="N303" s="30"/>
      <c r="V303" s="30"/>
      <c r="AC303" s="31"/>
      <c r="AN303" s="32"/>
      <c r="AO303" s="57"/>
    </row>
    <row r="304" spans="6:41">
      <c r="F304" s="31"/>
      <c r="N304" s="30"/>
      <c r="V304" s="30"/>
      <c r="AC304" s="31"/>
      <c r="AN304" s="32"/>
      <c r="AO304" s="57"/>
    </row>
    <row r="305" spans="6:41">
      <c r="F305" s="31"/>
      <c r="N305" s="30"/>
      <c r="V305" s="30"/>
      <c r="AC305" s="31"/>
      <c r="AN305" s="32"/>
      <c r="AO305" s="57"/>
    </row>
    <row r="306" spans="6:41">
      <c r="F306" s="31"/>
      <c r="N306" s="30"/>
      <c r="V306" s="30"/>
      <c r="AC306" s="31"/>
      <c r="AN306" s="32"/>
      <c r="AO306" s="57"/>
    </row>
    <row r="307" spans="6:41">
      <c r="F307" s="31"/>
      <c r="N307" s="30"/>
      <c r="V307" s="30"/>
      <c r="AC307" s="31"/>
      <c r="AN307" s="32"/>
      <c r="AO307" s="57"/>
    </row>
    <row r="308" spans="6:41">
      <c r="F308" s="31"/>
      <c r="N308" s="30"/>
      <c r="V308" s="30"/>
      <c r="AC308" s="31"/>
      <c r="AN308" s="32"/>
      <c r="AO308" s="57"/>
    </row>
    <row r="309" spans="6:41">
      <c r="F309" s="31"/>
      <c r="N309" s="30"/>
      <c r="V309" s="30"/>
      <c r="AC309" s="31"/>
      <c r="AN309" s="32"/>
      <c r="AO309" s="57"/>
    </row>
    <row r="310" spans="6:41">
      <c r="F310" s="31"/>
      <c r="N310" s="30"/>
      <c r="V310" s="30"/>
      <c r="AC310" s="31"/>
      <c r="AN310" s="32"/>
      <c r="AO310" s="57"/>
    </row>
    <row r="311" spans="6:41">
      <c r="F311" s="31"/>
      <c r="N311" s="30"/>
      <c r="V311" s="30"/>
      <c r="AC311" s="31"/>
      <c r="AN311" s="32"/>
      <c r="AO311" s="57"/>
    </row>
    <row r="312" spans="6:41">
      <c r="F312" s="31"/>
      <c r="N312" s="30"/>
      <c r="V312" s="30"/>
      <c r="AC312" s="31"/>
      <c r="AN312" s="32"/>
      <c r="AO312" s="57"/>
    </row>
    <row r="313" spans="6:41">
      <c r="F313" s="31"/>
      <c r="N313" s="30"/>
      <c r="V313" s="30"/>
      <c r="AC313" s="31"/>
      <c r="AN313" s="32"/>
      <c r="AO313" s="57"/>
    </row>
    <row r="314" spans="6:41">
      <c r="F314" s="31"/>
      <c r="N314" s="30"/>
      <c r="V314" s="30"/>
      <c r="AC314" s="31"/>
      <c r="AN314" s="32"/>
      <c r="AO314" s="57"/>
    </row>
    <row r="315" spans="6:41">
      <c r="F315" s="31"/>
      <c r="N315" s="30"/>
      <c r="V315" s="30"/>
      <c r="AC315" s="31"/>
      <c r="AN315" s="32"/>
      <c r="AO315" s="57"/>
    </row>
    <row r="316" spans="6:41">
      <c r="F316" s="31"/>
      <c r="N316" s="30"/>
      <c r="V316" s="30"/>
      <c r="AC316" s="31"/>
      <c r="AN316" s="32"/>
      <c r="AO316" s="57"/>
    </row>
    <row r="317" spans="6:41">
      <c r="F317" s="31"/>
      <c r="N317" s="30"/>
      <c r="V317" s="30"/>
      <c r="AC317" s="31"/>
      <c r="AN317" s="32"/>
      <c r="AO317" s="57"/>
    </row>
    <row r="318" spans="6:41">
      <c r="F318" s="31"/>
      <c r="N318" s="30"/>
      <c r="V318" s="30"/>
      <c r="AC318" s="31"/>
      <c r="AN318" s="32"/>
      <c r="AO318" s="57"/>
    </row>
    <row r="319" spans="6:41">
      <c r="F319" s="31"/>
      <c r="N319" s="30"/>
      <c r="V319" s="30"/>
      <c r="AC319" s="31"/>
      <c r="AN319" s="32"/>
      <c r="AO319" s="57"/>
    </row>
    <row r="320" spans="6:41">
      <c r="F320" s="31"/>
      <c r="N320" s="30"/>
      <c r="V320" s="30"/>
      <c r="AC320" s="31"/>
      <c r="AN320" s="32"/>
      <c r="AO320" s="57"/>
    </row>
    <row r="321" spans="6:41">
      <c r="F321" s="31"/>
      <c r="N321" s="30"/>
      <c r="V321" s="30"/>
      <c r="AC321" s="31"/>
      <c r="AN321" s="32"/>
      <c r="AO321" s="57"/>
    </row>
    <row r="322" spans="6:41">
      <c r="F322" s="31"/>
      <c r="N322" s="30"/>
      <c r="V322" s="30"/>
      <c r="AC322" s="31"/>
      <c r="AN322" s="32"/>
      <c r="AO322" s="57"/>
    </row>
    <row r="323" spans="6:41">
      <c r="F323" s="31"/>
      <c r="N323" s="30"/>
      <c r="V323" s="30"/>
      <c r="AC323" s="31"/>
      <c r="AN323" s="32"/>
      <c r="AO323" s="57"/>
    </row>
    <row r="324" spans="6:41">
      <c r="F324" s="31"/>
      <c r="N324" s="30"/>
      <c r="V324" s="30"/>
      <c r="AC324" s="31"/>
      <c r="AN324" s="32"/>
      <c r="AO324" s="57"/>
    </row>
    <row r="325" spans="6:41">
      <c r="F325" s="31"/>
      <c r="N325" s="30"/>
      <c r="V325" s="30"/>
      <c r="AC325" s="31"/>
      <c r="AN325" s="32"/>
      <c r="AO325" s="57"/>
    </row>
    <row r="326" spans="6:41">
      <c r="F326" s="31"/>
      <c r="N326" s="30"/>
      <c r="V326" s="30"/>
      <c r="AC326" s="31"/>
      <c r="AN326" s="32"/>
      <c r="AO326" s="57"/>
    </row>
    <row r="327" spans="6:41">
      <c r="F327" s="31"/>
      <c r="N327" s="30"/>
      <c r="V327" s="30"/>
      <c r="AC327" s="31"/>
      <c r="AN327" s="32"/>
      <c r="AO327" s="57"/>
    </row>
    <row r="328" spans="6:41">
      <c r="F328" s="31"/>
      <c r="N328" s="30"/>
      <c r="V328" s="30"/>
      <c r="AC328" s="31"/>
      <c r="AN328" s="32"/>
      <c r="AO328" s="57"/>
    </row>
    <row r="329" spans="6:41">
      <c r="F329" s="31"/>
      <c r="N329" s="30"/>
      <c r="V329" s="30"/>
      <c r="AC329" s="31"/>
      <c r="AN329" s="32"/>
      <c r="AO329" s="57"/>
    </row>
    <row r="330" spans="6:41">
      <c r="F330" s="31"/>
      <c r="N330" s="30"/>
      <c r="V330" s="30"/>
      <c r="AC330" s="31"/>
      <c r="AN330" s="32"/>
      <c r="AO330" s="57"/>
    </row>
    <row r="331" spans="6:41">
      <c r="F331" s="31"/>
      <c r="N331" s="30"/>
      <c r="V331" s="30"/>
      <c r="AC331" s="31"/>
      <c r="AN331" s="32"/>
      <c r="AO331" s="57"/>
    </row>
    <row r="332" spans="6:41">
      <c r="F332" s="31"/>
      <c r="N332" s="30"/>
      <c r="V332" s="30"/>
      <c r="AC332" s="31"/>
      <c r="AN332" s="32"/>
      <c r="AO332" s="57"/>
    </row>
    <row r="333" spans="6:41">
      <c r="F333" s="31"/>
      <c r="N333" s="30"/>
      <c r="V333" s="30"/>
      <c r="AC333" s="31"/>
      <c r="AN333" s="32"/>
      <c r="AO333" s="57"/>
    </row>
    <row r="334" spans="6:41">
      <c r="F334" s="31"/>
      <c r="N334" s="30"/>
      <c r="V334" s="30"/>
      <c r="AC334" s="31"/>
      <c r="AN334" s="32"/>
      <c r="AO334" s="57"/>
    </row>
    <row r="335" spans="6:41">
      <c r="F335" s="31"/>
      <c r="N335" s="30"/>
      <c r="V335" s="30"/>
      <c r="AC335" s="31"/>
      <c r="AN335" s="32"/>
      <c r="AO335" s="57"/>
    </row>
    <row r="336" spans="6:41">
      <c r="F336" s="31"/>
      <c r="N336" s="30"/>
      <c r="V336" s="30"/>
      <c r="AC336" s="31"/>
      <c r="AN336" s="32"/>
      <c r="AO336" s="57"/>
    </row>
    <row r="337" spans="6:41">
      <c r="F337" s="31"/>
      <c r="N337" s="30"/>
      <c r="V337" s="30"/>
      <c r="AC337" s="31"/>
      <c r="AN337" s="32"/>
      <c r="AO337" s="57"/>
    </row>
    <row r="338" spans="6:41">
      <c r="F338" s="31"/>
      <c r="N338" s="30"/>
      <c r="V338" s="30"/>
      <c r="AC338" s="31"/>
      <c r="AN338" s="32"/>
      <c r="AO338" s="57"/>
    </row>
    <row r="339" spans="6:41">
      <c r="F339" s="31"/>
      <c r="N339" s="30"/>
      <c r="V339" s="30"/>
      <c r="AC339" s="31"/>
      <c r="AN339" s="32"/>
      <c r="AO339" s="57"/>
    </row>
    <row r="340" spans="6:41">
      <c r="F340" s="31"/>
      <c r="N340" s="30"/>
      <c r="V340" s="30"/>
      <c r="AC340" s="31"/>
      <c r="AN340" s="32"/>
      <c r="AO340" s="57"/>
    </row>
    <row r="341" spans="6:41">
      <c r="F341" s="31"/>
      <c r="N341" s="30"/>
      <c r="V341" s="30"/>
      <c r="AC341" s="31"/>
      <c r="AN341" s="32"/>
      <c r="AO341" s="57"/>
    </row>
    <row r="342" spans="6:41">
      <c r="F342" s="31"/>
      <c r="N342" s="30"/>
      <c r="V342" s="30"/>
      <c r="AC342" s="31"/>
      <c r="AN342" s="32"/>
      <c r="AO342" s="57"/>
    </row>
    <row r="343" spans="6:41">
      <c r="F343" s="31"/>
      <c r="N343" s="30"/>
      <c r="V343" s="30"/>
      <c r="AC343" s="31"/>
      <c r="AN343" s="32"/>
      <c r="AO343" s="57"/>
    </row>
    <row r="344" spans="6:41">
      <c r="F344" s="31"/>
      <c r="N344" s="30"/>
      <c r="V344" s="30"/>
      <c r="AC344" s="31"/>
      <c r="AN344" s="32"/>
      <c r="AO344" s="57"/>
    </row>
    <row r="345" spans="6:41">
      <c r="F345" s="31"/>
      <c r="N345" s="30"/>
      <c r="V345" s="30"/>
      <c r="AC345" s="31"/>
      <c r="AN345" s="32"/>
      <c r="AO345" s="57"/>
    </row>
    <row r="346" spans="6:41">
      <c r="F346" s="31"/>
      <c r="N346" s="30"/>
      <c r="V346" s="30"/>
      <c r="AC346" s="31"/>
      <c r="AN346" s="32"/>
      <c r="AO346" s="57"/>
    </row>
    <row r="347" spans="6:41">
      <c r="F347" s="31"/>
      <c r="N347" s="30"/>
      <c r="V347" s="30"/>
      <c r="AC347" s="31"/>
      <c r="AN347" s="32"/>
      <c r="AO347" s="57"/>
    </row>
    <row r="348" spans="6:41">
      <c r="F348" s="31"/>
      <c r="N348" s="30"/>
      <c r="V348" s="30"/>
      <c r="AC348" s="31"/>
      <c r="AN348" s="32"/>
      <c r="AO348" s="57"/>
    </row>
    <row r="349" spans="6:41">
      <c r="F349" s="31"/>
      <c r="N349" s="30"/>
      <c r="V349" s="30"/>
      <c r="AC349" s="31"/>
      <c r="AN349" s="32"/>
      <c r="AO349" s="57"/>
    </row>
    <row r="350" spans="6:41">
      <c r="F350" s="31"/>
      <c r="N350" s="30"/>
      <c r="V350" s="30"/>
      <c r="AC350" s="31"/>
      <c r="AN350" s="32"/>
      <c r="AO350" s="57"/>
    </row>
    <row r="351" spans="6:41">
      <c r="F351" s="31"/>
      <c r="N351" s="30"/>
      <c r="V351" s="30"/>
      <c r="AC351" s="31"/>
      <c r="AN351" s="32"/>
      <c r="AO351" s="57"/>
    </row>
    <row r="352" spans="6:41">
      <c r="F352" s="31"/>
      <c r="N352" s="30"/>
      <c r="V352" s="30"/>
      <c r="AC352" s="31"/>
      <c r="AN352" s="32"/>
      <c r="AO352" s="57"/>
    </row>
    <row r="353" spans="6:41">
      <c r="F353" s="31"/>
      <c r="N353" s="30"/>
      <c r="V353" s="30"/>
      <c r="AC353" s="31"/>
      <c r="AN353" s="32"/>
      <c r="AO353" s="57"/>
    </row>
    <row r="354" spans="6:41">
      <c r="F354" s="31"/>
      <c r="N354" s="30"/>
      <c r="V354" s="30"/>
      <c r="AC354" s="31"/>
      <c r="AN354" s="32"/>
      <c r="AO354" s="57"/>
    </row>
    <row r="355" spans="6:41">
      <c r="F355" s="31"/>
      <c r="N355" s="30"/>
      <c r="V355" s="30"/>
      <c r="AC355" s="31"/>
      <c r="AN355" s="32"/>
      <c r="AO355" s="57"/>
    </row>
    <row r="356" spans="6:41">
      <c r="F356" s="31"/>
      <c r="N356" s="30"/>
      <c r="V356" s="30"/>
      <c r="AC356" s="31"/>
      <c r="AN356" s="32"/>
      <c r="AO356" s="57"/>
    </row>
    <row r="357" spans="6:41">
      <c r="F357" s="31"/>
      <c r="N357" s="30"/>
      <c r="V357" s="30"/>
      <c r="AC357" s="31"/>
      <c r="AN357" s="32"/>
      <c r="AO357" s="57"/>
    </row>
    <row r="358" spans="6:41">
      <c r="F358" s="31"/>
      <c r="N358" s="30"/>
      <c r="V358" s="30"/>
      <c r="AC358" s="31"/>
      <c r="AN358" s="32"/>
      <c r="AO358" s="57"/>
    </row>
    <row r="359" spans="6:41">
      <c r="F359" s="31"/>
      <c r="N359" s="30"/>
      <c r="V359" s="30"/>
      <c r="AC359" s="31"/>
      <c r="AN359" s="32"/>
      <c r="AO359" s="57"/>
    </row>
    <row r="360" spans="6:41">
      <c r="F360" s="31"/>
      <c r="N360" s="30"/>
      <c r="V360" s="30"/>
      <c r="AC360" s="31"/>
      <c r="AN360" s="32"/>
      <c r="AO360" s="57"/>
    </row>
    <row r="361" spans="6:41">
      <c r="F361" s="31"/>
      <c r="N361" s="30"/>
      <c r="V361" s="30"/>
      <c r="AC361" s="31"/>
      <c r="AN361" s="32"/>
      <c r="AO361" s="57"/>
    </row>
    <row r="362" spans="6:41">
      <c r="F362" s="31"/>
      <c r="N362" s="30"/>
      <c r="V362" s="30"/>
      <c r="AC362" s="31"/>
      <c r="AN362" s="32"/>
      <c r="AO362" s="57"/>
    </row>
    <row r="363" spans="6:41">
      <c r="F363" s="31"/>
      <c r="N363" s="30"/>
      <c r="V363" s="30"/>
      <c r="AC363" s="31"/>
      <c r="AN363" s="32"/>
      <c r="AO363" s="57"/>
    </row>
    <row r="364" spans="6:41">
      <c r="F364" s="31"/>
      <c r="N364" s="30"/>
      <c r="V364" s="30"/>
      <c r="AC364" s="31"/>
      <c r="AN364" s="32"/>
      <c r="AO364" s="57"/>
    </row>
    <row r="365" spans="6:41">
      <c r="F365" s="31"/>
      <c r="N365" s="30"/>
      <c r="V365" s="30"/>
      <c r="AC365" s="31"/>
      <c r="AN365" s="32"/>
      <c r="AO365" s="57"/>
    </row>
    <row r="366" spans="6:41">
      <c r="F366" s="31"/>
      <c r="N366" s="30"/>
      <c r="V366" s="30"/>
      <c r="AC366" s="31"/>
      <c r="AN366" s="32"/>
      <c r="AO366" s="57"/>
    </row>
    <row r="367" spans="6:41">
      <c r="F367" s="31"/>
      <c r="N367" s="30"/>
      <c r="V367" s="30"/>
      <c r="AC367" s="31"/>
      <c r="AN367" s="32"/>
      <c r="AO367" s="57"/>
    </row>
    <row r="368" spans="6:41">
      <c r="F368" s="31"/>
      <c r="N368" s="30"/>
      <c r="V368" s="30"/>
      <c r="AC368" s="31"/>
      <c r="AN368" s="32"/>
      <c r="AO368" s="57"/>
    </row>
    <row r="369" spans="6:41">
      <c r="F369" s="31"/>
      <c r="N369" s="30"/>
      <c r="V369" s="30"/>
      <c r="AC369" s="31"/>
      <c r="AN369" s="32"/>
      <c r="AO369" s="57"/>
    </row>
    <row r="370" spans="6:41">
      <c r="F370" s="31"/>
      <c r="N370" s="30"/>
      <c r="V370" s="30"/>
      <c r="AC370" s="31"/>
      <c r="AN370" s="32"/>
      <c r="AO370" s="57"/>
    </row>
    <row r="371" spans="6:41">
      <c r="F371" s="31"/>
      <c r="N371" s="30"/>
      <c r="V371" s="30"/>
      <c r="AC371" s="31"/>
      <c r="AN371" s="32"/>
      <c r="AO371" s="57"/>
    </row>
    <row r="372" spans="6:41">
      <c r="F372" s="31"/>
      <c r="N372" s="30"/>
      <c r="V372" s="30"/>
      <c r="AC372" s="31"/>
      <c r="AN372" s="32"/>
      <c r="AO372" s="57"/>
    </row>
    <row r="373" spans="6:41">
      <c r="F373" s="31"/>
      <c r="N373" s="30"/>
      <c r="V373" s="30"/>
      <c r="AC373" s="31"/>
      <c r="AN373" s="32"/>
      <c r="AO373" s="57"/>
    </row>
    <row r="374" spans="6:41">
      <c r="F374" s="31"/>
      <c r="N374" s="30"/>
      <c r="V374" s="30"/>
      <c r="AC374" s="31"/>
      <c r="AN374" s="32"/>
      <c r="AO374" s="57"/>
    </row>
    <row r="375" spans="6:41">
      <c r="F375" s="31"/>
      <c r="N375" s="30"/>
      <c r="V375" s="30"/>
      <c r="AC375" s="31"/>
      <c r="AN375" s="32"/>
      <c r="AO375" s="57"/>
    </row>
    <row r="376" spans="6:41">
      <c r="F376" s="31"/>
      <c r="N376" s="30"/>
      <c r="V376" s="30"/>
      <c r="AC376" s="31"/>
      <c r="AN376" s="32"/>
      <c r="AO376" s="57"/>
    </row>
    <row r="377" spans="6:41">
      <c r="F377" s="31"/>
      <c r="N377" s="30"/>
      <c r="V377" s="30"/>
      <c r="AC377" s="31"/>
      <c r="AN377" s="32"/>
      <c r="AO377" s="57"/>
    </row>
    <row r="378" spans="6:41">
      <c r="F378" s="31"/>
      <c r="N378" s="30"/>
      <c r="V378" s="30"/>
      <c r="AC378" s="31"/>
      <c r="AN378" s="32"/>
      <c r="AO378" s="57"/>
    </row>
    <row r="379" spans="6:41">
      <c r="F379" s="31"/>
      <c r="N379" s="30"/>
      <c r="V379" s="30"/>
      <c r="AC379" s="31"/>
      <c r="AN379" s="32"/>
      <c r="AO379" s="57"/>
    </row>
    <row r="380" spans="6:41">
      <c r="F380" s="31"/>
      <c r="N380" s="30"/>
      <c r="V380" s="30"/>
      <c r="AC380" s="31"/>
      <c r="AN380" s="32"/>
      <c r="AO380" s="57"/>
    </row>
    <row r="381" spans="6:41">
      <c r="F381" s="31"/>
      <c r="N381" s="30"/>
      <c r="V381" s="30"/>
      <c r="AC381" s="31"/>
      <c r="AN381" s="32"/>
      <c r="AO381" s="57"/>
    </row>
    <row r="382" spans="6:41">
      <c r="F382" s="31"/>
      <c r="N382" s="30"/>
      <c r="V382" s="30"/>
      <c r="AC382" s="31"/>
      <c r="AN382" s="32"/>
      <c r="AO382" s="57"/>
    </row>
    <row r="383" spans="6:41">
      <c r="F383" s="31"/>
      <c r="N383" s="30"/>
      <c r="V383" s="30"/>
      <c r="AC383" s="31"/>
      <c r="AN383" s="32"/>
      <c r="AO383" s="57"/>
    </row>
    <row r="384" spans="6:41">
      <c r="F384" s="31"/>
      <c r="N384" s="30"/>
      <c r="V384" s="30"/>
      <c r="AC384" s="31"/>
      <c r="AN384" s="32"/>
      <c r="AO384" s="57"/>
    </row>
    <row r="385" spans="6:41">
      <c r="F385" s="31"/>
      <c r="N385" s="30"/>
      <c r="V385" s="30"/>
      <c r="AC385" s="31"/>
      <c r="AN385" s="32"/>
      <c r="AO385" s="57"/>
    </row>
    <row r="386" spans="6:41">
      <c r="F386" s="31"/>
      <c r="N386" s="30"/>
      <c r="V386" s="30"/>
      <c r="AC386" s="31"/>
      <c r="AN386" s="32"/>
      <c r="AO386" s="57"/>
    </row>
    <row r="387" spans="6:41">
      <c r="F387" s="31"/>
      <c r="N387" s="30"/>
      <c r="V387" s="30"/>
      <c r="AC387" s="31"/>
      <c r="AN387" s="32"/>
      <c r="AO387" s="57"/>
    </row>
    <row r="388" spans="6:41">
      <c r="F388" s="31"/>
      <c r="N388" s="30"/>
      <c r="V388" s="30"/>
      <c r="AC388" s="31"/>
      <c r="AN388" s="32"/>
      <c r="AO388" s="57"/>
    </row>
    <row r="389" spans="6:41">
      <c r="F389" s="31"/>
      <c r="N389" s="30"/>
      <c r="V389" s="30"/>
      <c r="AC389" s="31"/>
      <c r="AN389" s="32"/>
      <c r="AO389" s="57"/>
    </row>
    <row r="390" spans="6:41">
      <c r="F390" s="31"/>
      <c r="N390" s="30"/>
      <c r="V390" s="30"/>
      <c r="AC390" s="31"/>
      <c r="AN390" s="32"/>
      <c r="AO390" s="57"/>
    </row>
    <row r="391" spans="6:41">
      <c r="F391" s="31"/>
      <c r="N391" s="30"/>
      <c r="V391" s="30"/>
      <c r="AC391" s="31"/>
      <c r="AN391" s="32"/>
      <c r="AO391" s="57"/>
    </row>
    <row r="392" spans="6:41">
      <c r="F392" s="31"/>
      <c r="N392" s="30"/>
      <c r="V392" s="30"/>
      <c r="AC392" s="31"/>
      <c r="AN392" s="32"/>
      <c r="AO392" s="57"/>
    </row>
    <row r="393" spans="6:41">
      <c r="F393" s="31"/>
      <c r="N393" s="30"/>
      <c r="V393" s="30"/>
      <c r="AC393" s="31"/>
      <c r="AN393" s="32"/>
      <c r="AO393" s="57"/>
    </row>
    <row r="394" spans="6:41">
      <c r="F394" s="31"/>
      <c r="N394" s="30"/>
      <c r="V394" s="30"/>
      <c r="AC394" s="31"/>
      <c r="AN394" s="32"/>
      <c r="AO394" s="57"/>
    </row>
    <row r="395" spans="6:41">
      <c r="F395" s="31"/>
      <c r="N395" s="30"/>
      <c r="V395" s="30"/>
      <c r="AC395" s="31"/>
      <c r="AN395" s="32"/>
      <c r="AO395" s="57"/>
    </row>
    <row r="396" spans="6:41">
      <c r="F396" s="31"/>
      <c r="N396" s="30"/>
      <c r="V396" s="30"/>
      <c r="AC396" s="31"/>
      <c r="AN396" s="32"/>
      <c r="AO396" s="57"/>
    </row>
    <row r="397" spans="6:41">
      <c r="F397" s="31"/>
      <c r="N397" s="30"/>
      <c r="V397" s="30"/>
      <c r="AC397" s="31"/>
      <c r="AN397" s="32"/>
      <c r="AO397" s="57"/>
    </row>
    <row r="398" spans="6:41">
      <c r="F398" s="31"/>
      <c r="N398" s="30"/>
      <c r="V398" s="30"/>
      <c r="AC398" s="31"/>
      <c r="AN398" s="32"/>
      <c r="AO398" s="57"/>
    </row>
    <row r="399" spans="6:41">
      <c r="F399" s="31"/>
      <c r="N399" s="30"/>
      <c r="V399" s="30"/>
      <c r="AC399" s="31"/>
      <c r="AN399" s="32"/>
      <c r="AO399" s="57"/>
    </row>
    <row r="400" spans="6:41">
      <c r="F400" s="31"/>
      <c r="N400" s="30"/>
      <c r="V400" s="30"/>
      <c r="AC400" s="31"/>
      <c r="AN400" s="32"/>
      <c r="AO400" s="57"/>
    </row>
    <row r="401" spans="6:41">
      <c r="F401" s="31"/>
      <c r="N401" s="30"/>
      <c r="V401" s="30"/>
      <c r="AC401" s="31"/>
      <c r="AN401" s="32"/>
      <c r="AO401" s="57"/>
    </row>
    <row r="402" spans="6:41">
      <c r="F402" s="31"/>
      <c r="N402" s="30"/>
      <c r="V402" s="30"/>
      <c r="AC402" s="31"/>
      <c r="AN402" s="32"/>
      <c r="AO402" s="57"/>
    </row>
    <row r="403" spans="6:41">
      <c r="F403" s="31"/>
      <c r="N403" s="30"/>
      <c r="V403" s="30"/>
      <c r="AC403" s="31"/>
      <c r="AN403" s="32"/>
      <c r="AO403" s="57"/>
    </row>
    <row r="404" spans="6:41">
      <c r="F404" s="31"/>
      <c r="N404" s="30"/>
      <c r="V404" s="30"/>
      <c r="AC404" s="31"/>
      <c r="AN404" s="32"/>
      <c r="AO404" s="57"/>
    </row>
    <row r="405" spans="6:41">
      <c r="F405" s="31"/>
      <c r="N405" s="30"/>
      <c r="V405" s="30"/>
      <c r="AC405" s="31"/>
      <c r="AN405" s="32"/>
      <c r="AO405" s="57"/>
    </row>
    <row r="406" spans="6:41">
      <c r="F406" s="31"/>
      <c r="N406" s="30"/>
      <c r="V406" s="30"/>
      <c r="AC406" s="31"/>
      <c r="AN406" s="32"/>
      <c r="AO406" s="57"/>
    </row>
    <row r="407" spans="6:41">
      <c r="F407" s="31"/>
      <c r="N407" s="30"/>
      <c r="V407" s="30"/>
      <c r="AC407" s="31"/>
      <c r="AN407" s="32"/>
      <c r="AO407" s="57"/>
    </row>
    <row r="408" spans="6:41">
      <c r="F408" s="31"/>
      <c r="N408" s="30"/>
      <c r="V408" s="30"/>
      <c r="AC408" s="31"/>
      <c r="AN408" s="32"/>
      <c r="AO408" s="57"/>
    </row>
    <row r="409" spans="6:41">
      <c r="F409" s="31"/>
      <c r="N409" s="30"/>
      <c r="V409" s="30"/>
      <c r="AC409" s="31"/>
      <c r="AN409" s="32"/>
      <c r="AO409" s="57"/>
    </row>
    <row r="410" spans="6:41">
      <c r="F410" s="31"/>
      <c r="N410" s="30"/>
      <c r="V410" s="30"/>
      <c r="AC410" s="31"/>
      <c r="AN410" s="32"/>
      <c r="AO410" s="57"/>
    </row>
    <row r="411" spans="6:41">
      <c r="F411" s="31"/>
      <c r="N411" s="30"/>
      <c r="V411" s="30"/>
      <c r="AC411" s="31"/>
      <c r="AN411" s="32"/>
      <c r="AO411" s="57"/>
    </row>
    <row r="412" spans="6:41">
      <c r="F412" s="31"/>
      <c r="N412" s="30"/>
      <c r="V412" s="30"/>
      <c r="AC412" s="31"/>
      <c r="AN412" s="32"/>
      <c r="AO412" s="57"/>
    </row>
    <row r="413" spans="6:41">
      <c r="F413" s="31"/>
      <c r="N413" s="30"/>
      <c r="V413" s="30"/>
      <c r="AC413" s="31"/>
      <c r="AN413" s="32"/>
      <c r="AO413" s="57"/>
    </row>
    <row r="414" spans="6:41">
      <c r="F414" s="31"/>
      <c r="N414" s="30"/>
      <c r="V414" s="30"/>
      <c r="AC414" s="31"/>
      <c r="AN414" s="32"/>
      <c r="AO414" s="57"/>
    </row>
    <row r="415" spans="6:41">
      <c r="F415" s="31"/>
      <c r="N415" s="30"/>
      <c r="V415" s="30"/>
      <c r="AC415" s="31"/>
      <c r="AN415" s="32"/>
      <c r="AO415" s="57"/>
    </row>
    <row r="416" spans="6:41">
      <c r="F416" s="31"/>
      <c r="N416" s="30"/>
      <c r="V416" s="30"/>
      <c r="AC416" s="31"/>
      <c r="AN416" s="32"/>
      <c r="AO416" s="57"/>
    </row>
    <row r="417" spans="6:41">
      <c r="F417" s="31"/>
      <c r="N417" s="30"/>
      <c r="V417" s="30"/>
      <c r="AC417" s="31"/>
      <c r="AN417" s="32"/>
      <c r="AO417" s="57"/>
    </row>
    <row r="418" spans="6:41">
      <c r="F418" s="31"/>
      <c r="N418" s="30"/>
      <c r="V418" s="30"/>
      <c r="AC418" s="31"/>
      <c r="AN418" s="32"/>
      <c r="AO418" s="57"/>
    </row>
    <row r="419" spans="6:41">
      <c r="F419" s="31"/>
      <c r="N419" s="30"/>
      <c r="V419" s="30"/>
      <c r="AC419" s="31"/>
      <c r="AN419" s="32"/>
      <c r="AO419" s="57"/>
    </row>
    <row r="420" spans="6:41">
      <c r="F420" s="31"/>
      <c r="N420" s="30"/>
      <c r="V420" s="30"/>
      <c r="AC420" s="31"/>
      <c r="AN420" s="32"/>
      <c r="AO420" s="57"/>
    </row>
    <row r="421" spans="6:41">
      <c r="F421" s="31"/>
      <c r="N421" s="30"/>
      <c r="V421" s="30"/>
      <c r="AC421" s="31"/>
      <c r="AN421" s="32"/>
      <c r="AO421" s="57"/>
    </row>
    <row r="422" spans="6:41">
      <c r="F422" s="31"/>
      <c r="N422" s="30"/>
      <c r="V422" s="30"/>
      <c r="AC422" s="31"/>
      <c r="AN422" s="32"/>
      <c r="AO422" s="57"/>
    </row>
    <row r="423" spans="6:41">
      <c r="F423" s="31"/>
      <c r="N423" s="30"/>
      <c r="V423" s="30"/>
      <c r="AC423" s="31"/>
      <c r="AN423" s="32"/>
      <c r="AO423" s="57"/>
    </row>
    <row r="424" spans="6:41">
      <c r="F424" s="31"/>
      <c r="N424" s="30"/>
      <c r="V424" s="30"/>
      <c r="AC424" s="31"/>
      <c r="AN424" s="32"/>
      <c r="AO424" s="57"/>
    </row>
    <row r="425" spans="6:41">
      <c r="F425" s="31"/>
      <c r="N425" s="30"/>
      <c r="V425" s="30"/>
      <c r="AC425" s="31"/>
      <c r="AN425" s="32"/>
      <c r="AO425" s="57"/>
    </row>
    <row r="426" spans="6:41">
      <c r="F426" s="31"/>
      <c r="N426" s="30"/>
      <c r="V426" s="30"/>
      <c r="AC426" s="31"/>
      <c r="AN426" s="32"/>
      <c r="AO426" s="57"/>
    </row>
    <row r="427" spans="6:41">
      <c r="F427" s="31"/>
      <c r="N427" s="30"/>
      <c r="V427" s="30"/>
      <c r="AC427" s="31"/>
      <c r="AN427" s="32"/>
      <c r="AO427" s="57"/>
    </row>
    <row r="428" spans="6:41">
      <c r="F428" s="31"/>
      <c r="N428" s="30"/>
      <c r="V428" s="30"/>
      <c r="AC428" s="31"/>
      <c r="AN428" s="32"/>
      <c r="AO428" s="57"/>
    </row>
    <row r="429" spans="6:41">
      <c r="F429" s="31"/>
      <c r="N429" s="30"/>
      <c r="V429" s="30"/>
      <c r="AC429" s="31"/>
      <c r="AN429" s="32"/>
      <c r="AO429" s="57"/>
    </row>
    <row r="430" spans="6:41">
      <c r="F430" s="31"/>
      <c r="N430" s="30"/>
      <c r="V430" s="30"/>
      <c r="AC430" s="31"/>
      <c r="AN430" s="32"/>
      <c r="AO430" s="57"/>
    </row>
    <row r="431" spans="6:41">
      <c r="F431" s="31"/>
      <c r="N431" s="30"/>
      <c r="V431" s="30"/>
      <c r="AC431" s="31"/>
      <c r="AN431" s="32"/>
      <c r="AO431" s="57"/>
    </row>
    <row r="432" spans="6:41">
      <c r="F432" s="31"/>
      <c r="N432" s="30"/>
      <c r="V432" s="30"/>
      <c r="AC432" s="31"/>
      <c r="AN432" s="32"/>
      <c r="AO432" s="57"/>
    </row>
    <row r="433" spans="6:41">
      <c r="F433" s="31"/>
      <c r="N433" s="30"/>
      <c r="V433" s="30"/>
      <c r="AC433" s="31"/>
      <c r="AN433" s="32"/>
      <c r="AO433" s="57"/>
    </row>
    <row r="434" spans="6:41">
      <c r="F434" s="31"/>
      <c r="N434" s="30"/>
      <c r="V434" s="30"/>
      <c r="AC434" s="31"/>
      <c r="AN434" s="32"/>
      <c r="AO434" s="57"/>
    </row>
    <row r="435" spans="6:41">
      <c r="F435" s="31"/>
      <c r="N435" s="30"/>
      <c r="V435" s="30"/>
      <c r="AC435" s="31"/>
      <c r="AN435" s="32"/>
      <c r="AO435" s="57"/>
    </row>
    <row r="436" spans="6:41">
      <c r="F436" s="31"/>
      <c r="N436" s="30"/>
      <c r="V436" s="30"/>
      <c r="AC436" s="31"/>
      <c r="AN436" s="32"/>
      <c r="AO436" s="57"/>
    </row>
    <row r="437" spans="6:41">
      <c r="F437" s="31"/>
      <c r="N437" s="30"/>
      <c r="V437" s="30"/>
      <c r="AC437" s="31"/>
      <c r="AN437" s="32"/>
      <c r="AO437" s="57"/>
    </row>
    <row r="438" spans="6:41">
      <c r="F438" s="31"/>
      <c r="N438" s="30"/>
      <c r="V438" s="30"/>
      <c r="AC438" s="31"/>
      <c r="AN438" s="32"/>
      <c r="AO438" s="57"/>
    </row>
    <row r="439" spans="6:41">
      <c r="F439" s="31"/>
      <c r="N439" s="30"/>
      <c r="V439" s="30"/>
      <c r="AC439" s="31"/>
      <c r="AN439" s="32"/>
      <c r="AO439" s="57"/>
    </row>
    <row r="440" spans="6:41">
      <c r="F440" s="31"/>
      <c r="N440" s="30"/>
      <c r="V440" s="30"/>
      <c r="AC440" s="31"/>
      <c r="AN440" s="32"/>
      <c r="AO440" s="57"/>
    </row>
    <row r="441" spans="6:41">
      <c r="F441" s="31"/>
      <c r="N441" s="30"/>
      <c r="V441" s="30"/>
      <c r="AC441" s="31"/>
      <c r="AN441" s="32"/>
      <c r="AO441" s="57"/>
    </row>
    <row r="442" spans="6:41">
      <c r="F442" s="31"/>
      <c r="N442" s="30"/>
      <c r="V442" s="30"/>
      <c r="AC442" s="31"/>
      <c r="AN442" s="32"/>
      <c r="AO442" s="57"/>
    </row>
    <row r="443" spans="6:41">
      <c r="F443" s="31"/>
      <c r="N443" s="30"/>
      <c r="V443" s="30"/>
      <c r="AC443" s="31"/>
      <c r="AN443" s="32"/>
      <c r="AO443" s="57"/>
    </row>
    <row r="444" spans="6:41">
      <c r="F444" s="31"/>
      <c r="N444" s="30"/>
      <c r="V444" s="30"/>
      <c r="AC444" s="31"/>
      <c r="AN444" s="32"/>
      <c r="AO444" s="57"/>
    </row>
    <row r="445" spans="6:41">
      <c r="F445" s="31"/>
      <c r="N445" s="30"/>
      <c r="V445" s="30"/>
      <c r="AC445" s="31"/>
      <c r="AN445" s="32"/>
      <c r="AO445" s="57"/>
    </row>
    <row r="446" spans="6:41">
      <c r="F446" s="31"/>
      <c r="N446" s="30"/>
      <c r="V446" s="30"/>
      <c r="AC446" s="31"/>
      <c r="AN446" s="32"/>
      <c r="AO446" s="57"/>
    </row>
    <row r="447" spans="6:41">
      <c r="F447" s="31"/>
      <c r="N447" s="30"/>
      <c r="V447" s="30"/>
      <c r="AC447" s="31"/>
      <c r="AN447" s="32"/>
      <c r="AO447" s="57"/>
    </row>
    <row r="448" spans="6:41">
      <c r="F448" s="31"/>
      <c r="N448" s="30"/>
      <c r="V448" s="30"/>
      <c r="AC448" s="31"/>
      <c r="AN448" s="32"/>
      <c r="AO448" s="57"/>
    </row>
    <row r="449" spans="6:41">
      <c r="F449" s="31"/>
      <c r="N449" s="30"/>
      <c r="V449" s="30"/>
      <c r="AC449" s="31"/>
      <c r="AN449" s="32"/>
      <c r="AO449" s="57"/>
    </row>
    <row r="450" spans="6:41">
      <c r="F450" s="31"/>
      <c r="N450" s="30"/>
      <c r="V450" s="30"/>
      <c r="AC450" s="31"/>
      <c r="AN450" s="32"/>
      <c r="AO450" s="57"/>
    </row>
    <row r="451" spans="6:41">
      <c r="F451" s="31"/>
      <c r="N451" s="30"/>
      <c r="V451" s="30"/>
      <c r="AC451" s="31"/>
      <c r="AN451" s="32"/>
      <c r="AO451" s="57"/>
    </row>
    <row r="452" spans="6:41">
      <c r="F452" s="31"/>
      <c r="N452" s="30"/>
      <c r="V452" s="30"/>
      <c r="AC452" s="31"/>
      <c r="AN452" s="32"/>
      <c r="AO452" s="57"/>
    </row>
    <row r="453" spans="6:41">
      <c r="F453" s="31"/>
      <c r="N453" s="30"/>
      <c r="V453" s="30"/>
      <c r="AC453" s="31"/>
      <c r="AN453" s="32"/>
      <c r="AO453" s="57"/>
    </row>
    <row r="454" spans="6:41">
      <c r="F454" s="31"/>
      <c r="N454" s="30"/>
      <c r="V454" s="30"/>
      <c r="AC454" s="31"/>
      <c r="AN454" s="32"/>
      <c r="AO454" s="57"/>
    </row>
    <row r="455" spans="6:41">
      <c r="F455" s="31"/>
      <c r="N455" s="30"/>
      <c r="V455" s="30"/>
      <c r="AC455" s="31"/>
      <c r="AN455" s="32"/>
      <c r="AO455" s="57"/>
    </row>
    <row r="456" spans="6:41">
      <c r="F456" s="31"/>
      <c r="N456" s="30"/>
      <c r="V456" s="30"/>
      <c r="AC456" s="31"/>
      <c r="AN456" s="32"/>
      <c r="AO456" s="57"/>
    </row>
    <row r="457" spans="6:41">
      <c r="F457" s="31"/>
      <c r="N457" s="30"/>
      <c r="V457" s="30"/>
      <c r="AC457" s="31"/>
      <c r="AN457" s="32"/>
      <c r="AO457" s="57"/>
    </row>
    <row r="458" spans="6:41">
      <c r="F458" s="31"/>
      <c r="N458" s="30"/>
      <c r="V458" s="30"/>
      <c r="AC458" s="31"/>
      <c r="AN458" s="32"/>
      <c r="AO458" s="57"/>
    </row>
    <row r="459" spans="6:41">
      <c r="F459" s="31"/>
      <c r="N459" s="30"/>
      <c r="V459" s="30"/>
      <c r="AC459" s="31"/>
      <c r="AN459" s="32"/>
      <c r="AO459" s="57"/>
    </row>
    <row r="460" spans="6:41">
      <c r="F460" s="31"/>
      <c r="N460" s="30"/>
      <c r="V460" s="30"/>
      <c r="AC460" s="31"/>
      <c r="AN460" s="32"/>
      <c r="AO460" s="57"/>
    </row>
    <row r="461" spans="6:41">
      <c r="F461" s="31"/>
      <c r="N461" s="30"/>
      <c r="V461" s="30"/>
      <c r="AC461" s="31"/>
      <c r="AN461" s="32"/>
      <c r="AO461" s="57"/>
    </row>
    <row r="462" spans="6:41">
      <c r="F462" s="31"/>
      <c r="N462" s="30"/>
      <c r="V462" s="30"/>
      <c r="AC462" s="31"/>
      <c r="AN462" s="32"/>
      <c r="AO462" s="57"/>
    </row>
    <row r="463" spans="6:41">
      <c r="F463" s="31"/>
      <c r="N463" s="30"/>
      <c r="V463" s="30"/>
      <c r="AC463" s="31"/>
      <c r="AN463" s="32"/>
      <c r="AO463" s="57"/>
    </row>
    <row r="464" spans="6:41">
      <c r="F464" s="31"/>
      <c r="N464" s="30"/>
      <c r="V464" s="30"/>
      <c r="AC464" s="31"/>
      <c r="AN464" s="32"/>
      <c r="AO464" s="57"/>
    </row>
    <row r="465" spans="6:41">
      <c r="F465" s="31"/>
      <c r="N465" s="30"/>
      <c r="V465" s="30"/>
      <c r="AC465" s="31"/>
      <c r="AN465" s="32"/>
      <c r="AO465" s="57"/>
    </row>
    <row r="466" spans="6:41">
      <c r="F466" s="31"/>
      <c r="N466" s="30"/>
      <c r="V466" s="30"/>
      <c r="AC466" s="31"/>
      <c r="AN466" s="32"/>
      <c r="AO466" s="57"/>
    </row>
    <row r="467" spans="6:41">
      <c r="F467" s="31"/>
      <c r="N467" s="30"/>
      <c r="V467" s="30"/>
      <c r="AC467" s="31"/>
      <c r="AN467" s="32"/>
      <c r="AO467" s="57"/>
    </row>
    <row r="468" spans="6:41">
      <c r="F468" s="31"/>
      <c r="N468" s="30"/>
      <c r="V468" s="30"/>
      <c r="AC468" s="31"/>
      <c r="AN468" s="32"/>
      <c r="AO468" s="57"/>
    </row>
    <row r="469" spans="6:41">
      <c r="F469" s="31"/>
      <c r="N469" s="30"/>
      <c r="V469" s="30"/>
      <c r="AC469" s="31"/>
      <c r="AN469" s="32"/>
      <c r="AO469" s="57"/>
    </row>
    <row r="470" spans="6:41">
      <c r="F470" s="31"/>
      <c r="N470" s="30"/>
      <c r="V470" s="30"/>
      <c r="AC470" s="31"/>
      <c r="AN470" s="32"/>
      <c r="AO470" s="57"/>
    </row>
    <row r="471" spans="6:41">
      <c r="F471" s="31"/>
      <c r="N471" s="30"/>
      <c r="V471" s="30"/>
      <c r="AC471" s="31"/>
      <c r="AN471" s="32"/>
      <c r="AO471" s="57"/>
    </row>
    <row r="472" spans="6:41">
      <c r="F472" s="31"/>
      <c r="N472" s="30"/>
      <c r="V472" s="30"/>
      <c r="AC472" s="31"/>
      <c r="AN472" s="32"/>
      <c r="AO472" s="57"/>
    </row>
    <row r="473" spans="6:41">
      <c r="F473" s="31"/>
      <c r="N473" s="30"/>
      <c r="V473" s="30"/>
      <c r="AC473" s="31"/>
      <c r="AN473" s="32"/>
      <c r="AO473" s="57"/>
    </row>
    <row r="474" spans="6:41">
      <c r="F474" s="31"/>
      <c r="N474" s="30"/>
      <c r="V474" s="30"/>
      <c r="AC474" s="31"/>
      <c r="AN474" s="32"/>
      <c r="AO474" s="57"/>
    </row>
    <row r="475" spans="6:41">
      <c r="F475" s="31"/>
      <c r="N475" s="30"/>
      <c r="V475" s="30"/>
      <c r="AC475" s="31"/>
      <c r="AN475" s="32"/>
      <c r="AO475" s="57"/>
    </row>
    <row r="476" spans="6:41">
      <c r="F476" s="31"/>
      <c r="N476" s="30"/>
      <c r="V476" s="30"/>
      <c r="AC476" s="31"/>
      <c r="AN476" s="32"/>
      <c r="AO476" s="57"/>
    </row>
    <row r="477" spans="6:41">
      <c r="F477" s="31"/>
      <c r="N477" s="30"/>
      <c r="V477" s="30"/>
      <c r="AC477" s="31"/>
      <c r="AN477" s="32"/>
      <c r="AO477" s="57"/>
    </row>
    <row r="478" spans="6:41">
      <c r="F478" s="31"/>
      <c r="N478" s="30"/>
      <c r="V478" s="30"/>
      <c r="AC478" s="31"/>
      <c r="AN478" s="32"/>
      <c r="AO478" s="57"/>
    </row>
    <row r="479" spans="6:41">
      <c r="F479" s="31"/>
      <c r="N479" s="30"/>
      <c r="V479" s="30"/>
      <c r="AC479" s="31"/>
      <c r="AN479" s="32"/>
      <c r="AO479" s="57"/>
    </row>
    <row r="480" spans="6:41">
      <c r="F480" s="31"/>
      <c r="N480" s="30"/>
      <c r="V480" s="30"/>
      <c r="AC480" s="31"/>
      <c r="AN480" s="32"/>
      <c r="AO480" s="57"/>
    </row>
    <row r="481" spans="6:41">
      <c r="F481" s="31"/>
      <c r="N481" s="30"/>
      <c r="V481" s="30"/>
      <c r="AC481" s="31"/>
      <c r="AN481" s="32"/>
      <c r="AO481" s="57"/>
    </row>
    <row r="482" spans="6:41">
      <c r="F482" s="31"/>
      <c r="N482" s="30"/>
      <c r="V482" s="30"/>
      <c r="AC482" s="31"/>
      <c r="AN482" s="32"/>
      <c r="AO482" s="57"/>
    </row>
    <row r="483" spans="6:41">
      <c r="F483" s="31"/>
      <c r="N483" s="30"/>
      <c r="V483" s="30"/>
      <c r="AC483" s="31"/>
      <c r="AN483" s="32"/>
      <c r="AO483" s="57"/>
    </row>
    <row r="484" spans="6:41">
      <c r="F484" s="31"/>
      <c r="N484" s="30"/>
      <c r="V484" s="30"/>
      <c r="AC484" s="31"/>
      <c r="AN484" s="32"/>
      <c r="AO484" s="57"/>
    </row>
    <row r="485" spans="6:41">
      <c r="F485" s="31"/>
      <c r="N485" s="30"/>
      <c r="V485" s="30"/>
      <c r="AC485" s="31"/>
      <c r="AN485" s="32"/>
      <c r="AO485" s="57"/>
    </row>
    <row r="486" spans="6:41">
      <c r="F486" s="31"/>
      <c r="N486" s="30"/>
      <c r="V486" s="30"/>
      <c r="AC486" s="31"/>
      <c r="AN486" s="32"/>
      <c r="AO486" s="57"/>
    </row>
    <row r="487" spans="6:41">
      <c r="F487" s="31"/>
      <c r="N487" s="30"/>
      <c r="V487" s="30"/>
      <c r="AC487" s="31"/>
      <c r="AN487" s="32"/>
      <c r="AO487" s="57"/>
    </row>
    <row r="488" spans="6:41">
      <c r="F488" s="31"/>
      <c r="N488" s="30"/>
      <c r="V488" s="30"/>
      <c r="AC488" s="31"/>
      <c r="AN488" s="32"/>
      <c r="AO488" s="57"/>
    </row>
    <row r="489" spans="6:41">
      <c r="F489" s="31"/>
      <c r="N489" s="30"/>
      <c r="V489" s="30"/>
      <c r="AC489" s="31"/>
      <c r="AN489" s="32"/>
      <c r="AO489" s="57"/>
    </row>
    <row r="490" spans="6:41">
      <c r="F490" s="31"/>
      <c r="N490" s="30"/>
      <c r="V490" s="30"/>
      <c r="AC490" s="31"/>
      <c r="AN490" s="32"/>
      <c r="AO490" s="57"/>
    </row>
    <row r="491" spans="6:41">
      <c r="F491" s="31"/>
      <c r="N491" s="30"/>
      <c r="V491" s="30"/>
      <c r="AC491" s="31"/>
      <c r="AN491" s="32"/>
      <c r="AO491" s="57"/>
    </row>
    <row r="492" spans="6:41">
      <c r="F492" s="31"/>
      <c r="N492" s="30"/>
      <c r="V492" s="30"/>
      <c r="AC492" s="31"/>
      <c r="AN492" s="32"/>
      <c r="AO492" s="57"/>
    </row>
    <row r="493" spans="6:41">
      <c r="F493" s="31"/>
      <c r="N493" s="30"/>
      <c r="V493" s="30"/>
      <c r="AC493" s="31"/>
      <c r="AN493" s="32"/>
      <c r="AO493" s="57"/>
    </row>
    <row r="494" spans="6:41">
      <c r="F494" s="31"/>
      <c r="N494" s="30"/>
      <c r="V494" s="30"/>
      <c r="AC494" s="31"/>
      <c r="AN494" s="32"/>
      <c r="AO494" s="57"/>
    </row>
    <row r="495" spans="6:41">
      <c r="F495" s="31"/>
      <c r="N495" s="30"/>
      <c r="V495" s="30"/>
      <c r="AC495" s="31"/>
      <c r="AN495" s="32"/>
      <c r="AO495" s="57"/>
    </row>
    <row r="496" spans="6:41">
      <c r="F496" s="31"/>
      <c r="N496" s="30"/>
      <c r="V496" s="30"/>
      <c r="AC496" s="31"/>
      <c r="AN496" s="32"/>
      <c r="AO496" s="57"/>
    </row>
    <row r="497" spans="6:41">
      <c r="F497" s="31"/>
      <c r="N497" s="30"/>
      <c r="V497" s="30"/>
      <c r="AC497" s="31"/>
      <c r="AN497" s="32"/>
      <c r="AO497" s="57"/>
    </row>
    <row r="498" spans="6:41">
      <c r="F498" s="31"/>
      <c r="N498" s="30"/>
      <c r="V498" s="30"/>
      <c r="AC498" s="31"/>
      <c r="AN498" s="32"/>
      <c r="AO498" s="57"/>
    </row>
    <row r="499" spans="6:41">
      <c r="F499" s="31"/>
      <c r="N499" s="30"/>
      <c r="V499" s="30"/>
      <c r="AC499" s="31"/>
      <c r="AN499" s="32"/>
      <c r="AO499" s="57"/>
    </row>
    <row r="500" spans="6:41">
      <c r="F500" s="31"/>
      <c r="N500" s="30"/>
      <c r="V500" s="30"/>
      <c r="AC500" s="31"/>
      <c r="AN500" s="32"/>
      <c r="AO500" s="57"/>
    </row>
    <row r="501" spans="6:41">
      <c r="F501" s="31"/>
      <c r="N501" s="30"/>
      <c r="V501" s="30"/>
      <c r="AC501" s="31"/>
      <c r="AN501" s="32"/>
      <c r="AO501" s="57"/>
    </row>
    <row r="502" spans="6:41">
      <c r="F502" s="31"/>
      <c r="N502" s="30"/>
      <c r="V502" s="30"/>
      <c r="AC502" s="31"/>
      <c r="AN502" s="32"/>
      <c r="AO502" s="57"/>
    </row>
    <row r="503" spans="6:41">
      <c r="F503" s="31"/>
      <c r="N503" s="30"/>
      <c r="V503" s="30"/>
      <c r="AC503" s="31"/>
      <c r="AN503" s="32"/>
      <c r="AO503" s="57"/>
    </row>
    <row r="504" spans="6:41">
      <c r="F504" s="31"/>
      <c r="N504" s="30"/>
      <c r="V504" s="30"/>
      <c r="AC504" s="31"/>
      <c r="AN504" s="32"/>
      <c r="AO504" s="57"/>
    </row>
    <row r="505" spans="6:41">
      <c r="F505" s="31"/>
      <c r="N505" s="30"/>
      <c r="V505" s="30"/>
      <c r="AC505" s="31"/>
      <c r="AN505" s="32"/>
      <c r="AO505" s="57"/>
    </row>
    <row r="506" spans="6:41">
      <c r="F506" s="31"/>
      <c r="N506" s="30"/>
      <c r="V506" s="30"/>
      <c r="AC506" s="31"/>
      <c r="AN506" s="32"/>
      <c r="AO506" s="57"/>
    </row>
    <row r="507" spans="6:41">
      <c r="F507" s="31"/>
      <c r="N507" s="30"/>
      <c r="V507" s="30"/>
      <c r="AC507" s="31"/>
      <c r="AN507" s="32"/>
      <c r="AO507" s="57"/>
    </row>
    <row r="508" spans="6:41">
      <c r="F508" s="31"/>
      <c r="N508" s="30"/>
      <c r="V508" s="30"/>
      <c r="AC508" s="31"/>
      <c r="AN508" s="32"/>
      <c r="AO508" s="57"/>
    </row>
    <row r="509" spans="6:41">
      <c r="F509" s="31"/>
      <c r="N509" s="30"/>
      <c r="V509" s="30"/>
      <c r="AC509" s="31"/>
      <c r="AN509" s="32"/>
      <c r="AO509" s="57"/>
    </row>
    <row r="510" spans="6:41">
      <c r="F510" s="31"/>
      <c r="N510" s="30"/>
      <c r="V510" s="30"/>
      <c r="AC510" s="31"/>
      <c r="AN510" s="32"/>
      <c r="AO510" s="57"/>
    </row>
    <row r="511" spans="6:41">
      <c r="F511" s="31"/>
      <c r="N511" s="30"/>
      <c r="V511" s="30"/>
      <c r="AC511" s="31"/>
      <c r="AN511" s="32"/>
      <c r="AO511" s="57"/>
    </row>
    <row r="512" spans="6:41">
      <c r="F512" s="31"/>
      <c r="N512" s="30"/>
      <c r="V512" s="30"/>
      <c r="AC512" s="31"/>
      <c r="AN512" s="32"/>
      <c r="AO512" s="57"/>
    </row>
    <row r="513" spans="6:41">
      <c r="F513" s="31"/>
      <c r="N513" s="30"/>
      <c r="V513" s="30"/>
      <c r="AC513" s="31"/>
      <c r="AN513" s="32"/>
      <c r="AO513" s="57"/>
    </row>
    <row r="514" spans="6:41">
      <c r="F514" s="31"/>
      <c r="N514" s="30"/>
      <c r="V514" s="30"/>
      <c r="AC514" s="31"/>
      <c r="AN514" s="32"/>
      <c r="AO514" s="57"/>
    </row>
    <row r="515" spans="6:41">
      <c r="F515" s="31"/>
      <c r="N515" s="30"/>
      <c r="V515" s="30"/>
      <c r="AC515" s="31"/>
      <c r="AN515" s="32"/>
      <c r="AO515" s="57"/>
    </row>
    <row r="516" spans="6:41">
      <c r="F516" s="31"/>
      <c r="N516" s="30"/>
      <c r="V516" s="30"/>
      <c r="AC516" s="31"/>
      <c r="AN516" s="32"/>
      <c r="AO516" s="57"/>
    </row>
    <row r="517" spans="6:41">
      <c r="F517" s="31"/>
      <c r="N517" s="30"/>
      <c r="V517" s="30"/>
      <c r="AC517" s="31"/>
      <c r="AN517" s="32"/>
      <c r="AO517" s="57"/>
    </row>
    <row r="518" spans="6:41">
      <c r="F518" s="31"/>
      <c r="N518" s="30"/>
      <c r="V518" s="30"/>
      <c r="AC518" s="31"/>
      <c r="AN518" s="32"/>
      <c r="AO518" s="57"/>
    </row>
    <row r="519" spans="6:41">
      <c r="F519" s="31"/>
      <c r="N519" s="30"/>
      <c r="V519" s="30"/>
      <c r="AC519" s="31"/>
      <c r="AN519" s="32"/>
      <c r="AO519" s="57"/>
    </row>
    <row r="520" spans="6:41">
      <c r="F520" s="31"/>
      <c r="N520" s="30"/>
      <c r="V520" s="30"/>
      <c r="AC520" s="31"/>
      <c r="AN520" s="32"/>
      <c r="AO520" s="57"/>
    </row>
    <row r="521" spans="6:41">
      <c r="F521" s="31"/>
      <c r="N521" s="30"/>
      <c r="V521" s="30"/>
      <c r="AC521" s="31"/>
      <c r="AN521" s="32"/>
      <c r="AO521" s="57"/>
    </row>
    <row r="522" spans="6:41">
      <c r="F522" s="31"/>
      <c r="N522" s="30"/>
      <c r="V522" s="30"/>
      <c r="AC522" s="31"/>
      <c r="AN522" s="32"/>
      <c r="AO522" s="57"/>
    </row>
    <row r="523" spans="6:41">
      <c r="F523" s="31"/>
      <c r="N523" s="30"/>
      <c r="V523" s="30"/>
      <c r="AC523" s="31"/>
      <c r="AN523" s="32"/>
      <c r="AO523" s="57"/>
    </row>
    <row r="524" spans="6:41">
      <c r="F524" s="31"/>
      <c r="N524" s="30"/>
      <c r="V524" s="30"/>
      <c r="AC524" s="31"/>
      <c r="AN524" s="32"/>
      <c r="AO524" s="57"/>
    </row>
    <row r="525" spans="6:41">
      <c r="F525" s="31"/>
      <c r="N525" s="30"/>
      <c r="V525" s="30"/>
      <c r="AC525" s="31"/>
      <c r="AN525" s="32"/>
      <c r="AO525" s="57"/>
    </row>
    <row r="526" spans="6:41">
      <c r="F526" s="31"/>
      <c r="N526" s="30"/>
      <c r="V526" s="30"/>
      <c r="AC526" s="31"/>
      <c r="AN526" s="32"/>
      <c r="AO526" s="57"/>
    </row>
    <row r="527" spans="6:41">
      <c r="F527" s="31"/>
      <c r="N527" s="30"/>
      <c r="V527" s="30"/>
      <c r="AC527" s="31"/>
      <c r="AN527" s="32"/>
      <c r="AO527" s="57"/>
    </row>
    <row r="528" spans="6:41">
      <c r="F528" s="31"/>
      <c r="N528" s="30"/>
      <c r="V528" s="30"/>
      <c r="AC528" s="31"/>
      <c r="AN528" s="32"/>
      <c r="AO528" s="57"/>
    </row>
    <row r="529" spans="6:41">
      <c r="F529" s="31"/>
      <c r="N529" s="30"/>
      <c r="V529" s="30"/>
      <c r="AC529" s="31"/>
      <c r="AN529" s="32"/>
      <c r="AO529" s="57"/>
    </row>
    <row r="530" spans="6:41">
      <c r="F530" s="31"/>
      <c r="N530" s="30"/>
      <c r="V530" s="30"/>
      <c r="AC530" s="31"/>
      <c r="AN530" s="32"/>
      <c r="AO530" s="57"/>
    </row>
    <row r="531" spans="6:41">
      <c r="F531" s="31"/>
      <c r="N531" s="30"/>
      <c r="V531" s="30"/>
      <c r="AC531" s="31"/>
      <c r="AN531" s="32"/>
      <c r="AO531" s="57"/>
    </row>
    <row r="532" spans="6:41">
      <c r="F532" s="31"/>
      <c r="N532" s="30"/>
      <c r="V532" s="30"/>
      <c r="AC532" s="31"/>
      <c r="AN532" s="32"/>
      <c r="AO532" s="57"/>
    </row>
    <row r="533" spans="6:41">
      <c r="F533" s="31"/>
      <c r="N533" s="30"/>
      <c r="V533" s="30"/>
      <c r="AC533" s="31"/>
      <c r="AN533" s="32"/>
      <c r="AO533" s="57"/>
    </row>
    <row r="534" spans="6:41">
      <c r="F534" s="31"/>
      <c r="N534" s="30"/>
      <c r="V534" s="30"/>
      <c r="AC534" s="31"/>
      <c r="AN534" s="32"/>
      <c r="AO534" s="57"/>
    </row>
    <row r="535" spans="6:41">
      <c r="F535" s="31"/>
      <c r="N535" s="30"/>
      <c r="V535" s="30"/>
      <c r="AC535" s="31"/>
      <c r="AN535" s="32"/>
      <c r="AO535" s="57"/>
    </row>
    <row r="536" spans="6:41">
      <c r="F536" s="31"/>
      <c r="N536" s="30"/>
      <c r="V536" s="30"/>
      <c r="AC536" s="31"/>
      <c r="AN536" s="32"/>
      <c r="AO536" s="57"/>
    </row>
    <row r="537" spans="6:41">
      <c r="F537" s="31"/>
      <c r="N537" s="30"/>
      <c r="V537" s="30"/>
      <c r="AC537" s="31"/>
      <c r="AN537" s="32"/>
      <c r="AO537" s="57"/>
    </row>
    <row r="538" spans="6:41">
      <c r="F538" s="31"/>
      <c r="N538" s="30"/>
      <c r="V538" s="30"/>
      <c r="AC538" s="31"/>
      <c r="AN538" s="32"/>
      <c r="AO538" s="57"/>
    </row>
    <row r="539" spans="6:41">
      <c r="F539" s="31"/>
      <c r="N539" s="30"/>
      <c r="V539" s="30"/>
      <c r="AC539" s="31"/>
      <c r="AN539" s="32"/>
      <c r="AO539" s="57"/>
    </row>
    <row r="540" spans="6:41">
      <c r="F540" s="31"/>
      <c r="N540" s="30"/>
      <c r="V540" s="30"/>
      <c r="AC540" s="31"/>
      <c r="AN540" s="32"/>
      <c r="AO540" s="57"/>
    </row>
    <row r="541" spans="6:41">
      <c r="F541" s="31"/>
      <c r="N541" s="30"/>
      <c r="V541" s="30"/>
      <c r="AC541" s="31"/>
      <c r="AN541" s="32"/>
      <c r="AO541" s="57"/>
    </row>
    <row r="542" spans="6:41">
      <c r="F542" s="31"/>
      <c r="N542" s="30"/>
      <c r="V542" s="30"/>
      <c r="AC542" s="31"/>
      <c r="AN542" s="32"/>
      <c r="AO542" s="57"/>
    </row>
    <row r="543" spans="6:41">
      <c r="F543" s="31"/>
      <c r="N543" s="30"/>
      <c r="V543" s="30"/>
      <c r="AC543" s="31"/>
      <c r="AN543" s="32"/>
      <c r="AO543" s="57"/>
    </row>
    <row r="544" spans="6:41">
      <c r="F544" s="31"/>
      <c r="N544" s="30"/>
      <c r="V544" s="30"/>
      <c r="AC544" s="31"/>
      <c r="AN544" s="32"/>
      <c r="AO544" s="57"/>
    </row>
    <row r="545" spans="6:41">
      <c r="F545" s="31"/>
      <c r="N545" s="30"/>
      <c r="V545" s="30"/>
      <c r="AC545" s="31"/>
      <c r="AN545" s="32"/>
      <c r="AO545" s="57"/>
    </row>
    <row r="546" spans="6:41">
      <c r="F546" s="31"/>
      <c r="N546" s="30"/>
      <c r="V546" s="30"/>
      <c r="AC546" s="31"/>
      <c r="AN546" s="32"/>
      <c r="AO546" s="57"/>
    </row>
    <row r="547" spans="6:41">
      <c r="F547" s="31"/>
      <c r="N547" s="30"/>
      <c r="V547" s="30"/>
      <c r="AC547" s="31"/>
      <c r="AN547" s="32"/>
      <c r="AO547" s="57"/>
    </row>
    <row r="548" spans="6:41">
      <c r="F548" s="31"/>
      <c r="N548" s="30"/>
      <c r="V548" s="30"/>
      <c r="AC548" s="31"/>
      <c r="AN548" s="32"/>
      <c r="AO548" s="57"/>
    </row>
    <row r="549" spans="6:41">
      <c r="F549" s="31"/>
      <c r="N549" s="30"/>
      <c r="V549" s="30"/>
      <c r="AC549" s="31"/>
      <c r="AN549" s="32"/>
      <c r="AO549" s="57"/>
    </row>
    <row r="550" spans="6:41">
      <c r="F550" s="31"/>
      <c r="N550" s="30"/>
      <c r="V550" s="30"/>
      <c r="AC550" s="31"/>
      <c r="AN550" s="32"/>
      <c r="AO550" s="57"/>
    </row>
    <row r="551" spans="6:41">
      <c r="F551" s="31"/>
      <c r="N551" s="30"/>
      <c r="V551" s="30"/>
      <c r="AC551" s="31"/>
      <c r="AN551" s="32"/>
      <c r="AO551" s="57"/>
    </row>
    <row r="552" spans="6:41">
      <c r="F552" s="31"/>
      <c r="N552" s="30"/>
      <c r="V552" s="30"/>
      <c r="AC552" s="31"/>
      <c r="AN552" s="32"/>
      <c r="AO552" s="57"/>
    </row>
    <row r="553" spans="6:41">
      <c r="F553" s="31"/>
      <c r="N553" s="30"/>
      <c r="V553" s="30"/>
      <c r="AC553" s="31"/>
      <c r="AN553" s="32"/>
      <c r="AO553" s="57"/>
    </row>
    <row r="554" spans="6:41">
      <c r="F554" s="31"/>
      <c r="N554" s="30"/>
      <c r="V554" s="30"/>
      <c r="AC554" s="31"/>
      <c r="AN554" s="32"/>
      <c r="AO554" s="57"/>
    </row>
    <row r="555" spans="6:41">
      <c r="F555" s="31"/>
      <c r="N555" s="30"/>
      <c r="V555" s="30"/>
      <c r="AC555" s="31"/>
      <c r="AN555" s="32"/>
      <c r="AO555" s="57"/>
    </row>
    <row r="556" spans="6:41">
      <c r="F556" s="31"/>
      <c r="N556" s="30"/>
      <c r="V556" s="30"/>
      <c r="AC556" s="31"/>
      <c r="AN556" s="32"/>
      <c r="AO556" s="57"/>
    </row>
    <row r="557" spans="6:41">
      <c r="F557" s="31"/>
      <c r="N557" s="30"/>
      <c r="V557" s="30"/>
      <c r="AC557" s="31"/>
      <c r="AN557" s="32"/>
      <c r="AO557" s="57"/>
    </row>
    <row r="558" spans="6:41">
      <c r="F558" s="31"/>
      <c r="N558" s="30"/>
      <c r="V558" s="30"/>
      <c r="AC558" s="31"/>
      <c r="AN558" s="32"/>
      <c r="AO558" s="57"/>
    </row>
    <row r="559" spans="6:41">
      <c r="F559" s="31"/>
      <c r="N559" s="30"/>
      <c r="V559" s="30"/>
      <c r="AC559" s="31"/>
      <c r="AN559" s="32"/>
      <c r="AO559" s="57"/>
    </row>
    <row r="560" spans="6:41">
      <c r="F560" s="31"/>
      <c r="N560" s="30"/>
      <c r="V560" s="30"/>
      <c r="AC560" s="31"/>
      <c r="AN560" s="32"/>
      <c r="AO560" s="57"/>
    </row>
    <row r="561" spans="6:41">
      <c r="F561" s="31"/>
      <c r="N561" s="30"/>
      <c r="V561" s="30"/>
      <c r="AC561" s="31"/>
      <c r="AN561" s="32"/>
      <c r="AO561" s="57"/>
    </row>
    <row r="562" spans="6:41">
      <c r="F562" s="31"/>
      <c r="N562" s="30"/>
      <c r="V562" s="30"/>
      <c r="AC562" s="31"/>
      <c r="AN562" s="32"/>
      <c r="AO562" s="57"/>
    </row>
    <row r="563" spans="6:41">
      <c r="F563" s="31"/>
      <c r="N563" s="30"/>
      <c r="V563" s="30"/>
      <c r="AC563" s="31"/>
      <c r="AN563" s="32"/>
      <c r="AO563" s="57"/>
    </row>
    <row r="564" spans="6:41">
      <c r="F564" s="31"/>
      <c r="N564" s="30"/>
      <c r="V564" s="30"/>
      <c r="AC564" s="31"/>
      <c r="AN564" s="32"/>
      <c r="AO564" s="57"/>
    </row>
    <row r="565" spans="6:41">
      <c r="F565" s="31"/>
      <c r="N565" s="30"/>
      <c r="V565" s="30"/>
      <c r="AC565" s="31"/>
      <c r="AN565" s="32"/>
      <c r="AO565" s="57"/>
    </row>
    <row r="566" spans="6:41">
      <c r="F566" s="31"/>
      <c r="N566" s="30"/>
      <c r="V566" s="30"/>
      <c r="AC566" s="31"/>
      <c r="AN566" s="32"/>
      <c r="AO566" s="57"/>
    </row>
    <row r="567" spans="6:41">
      <c r="F567" s="31"/>
      <c r="N567" s="30"/>
      <c r="V567" s="30"/>
      <c r="AC567" s="31"/>
      <c r="AN567" s="32"/>
      <c r="AO567" s="57"/>
    </row>
    <row r="568" spans="6:41">
      <c r="F568" s="31"/>
      <c r="N568" s="30"/>
      <c r="V568" s="30"/>
      <c r="AC568" s="31"/>
      <c r="AN568" s="32"/>
      <c r="AO568" s="57"/>
    </row>
    <row r="569" spans="6:41">
      <c r="F569" s="31"/>
      <c r="N569" s="30"/>
      <c r="V569" s="30"/>
      <c r="AC569" s="31"/>
      <c r="AN569" s="32"/>
      <c r="AO569" s="57"/>
    </row>
    <row r="570" spans="6:41">
      <c r="F570" s="31"/>
      <c r="N570" s="30"/>
      <c r="V570" s="30"/>
      <c r="AC570" s="31"/>
      <c r="AN570" s="32"/>
      <c r="AO570" s="57"/>
    </row>
    <row r="571" spans="6:41">
      <c r="F571" s="31"/>
      <c r="N571" s="30"/>
      <c r="V571" s="30"/>
      <c r="AC571" s="31"/>
      <c r="AN571" s="32"/>
      <c r="AO571" s="57"/>
    </row>
    <row r="572" spans="6:41">
      <c r="F572" s="31"/>
      <c r="N572" s="30"/>
      <c r="V572" s="30"/>
      <c r="AC572" s="31"/>
      <c r="AN572" s="32"/>
      <c r="AO572" s="57"/>
    </row>
    <row r="573" spans="6:41">
      <c r="F573" s="31"/>
      <c r="N573" s="30"/>
      <c r="V573" s="30"/>
      <c r="AC573" s="31"/>
      <c r="AN573" s="32"/>
      <c r="AO573" s="57"/>
    </row>
    <row r="574" spans="6:41">
      <c r="F574" s="31"/>
      <c r="N574" s="30"/>
      <c r="V574" s="30"/>
      <c r="AC574" s="31"/>
      <c r="AN574" s="32"/>
      <c r="AO574" s="57"/>
    </row>
    <row r="575" spans="6:41">
      <c r="F575" s="31"/>
      <c r="N575" s="30"/>
      <c r="V575" s="30"/>
      <c r="AC575" s="31"/>
      <c r="AN575" s="32"/>
      <c r="AO575" s="57"/>
    </row>
    <row r="576" spans="6:41">
      <c r="F576" s="31"/>
      <c r="N576" s="30"/>
      <c r="V576" s="30"/>
      <c r="AC576" s="31"/>
      <c r="AN576" s="32"/>
      <c r="AO576" s="57"/>
    </row>
    <row r="577" spans="6:41">
      <c r="F577" s="31"/>
      <c r="N577" s="30"/>
      <c r="V577" s="30"/>
      <c r="AC577" s="31"/>
      <c r="AN577" s="32"/>
      <c r="AO577" s="57"/>
    </row>
    <row r="578" spans="6:41">
      <c r="F578" s="31"/>
      <c r="N578" s="30"/>
      <c r="V578" s="30"/>
      <c r="AC578" s="31"/>
      <c r="AN578" s="32"/>
      <c r="AO578" s="57"/>
    </row>
    <row r="579" spans="6:41">
      <c r="F579" s="31"/>
      <c r="N579" s="30"/>
      <c r="V579" s="30"/>
      <c r="AC579" s="31"/>
      <c r="AN579" s="32"/>
      <c r="AO579" s="57"/>
    </row>
    <row r="580" spans="6:41">
      <c r="F580" s="31"/>
      <c r="N580" s="30"/>
      <c r="V580" s="30"/>
      <c r="AC580" s="31"/>
      <c r="AN580" s="32"/>
      <c r="AO580" s="57"/>
    </row>
    <row r="581" spans="6:41">
      <c r="F581" s="31"/>
      <c r="N581" s="30"/>
      <c r="V581" s="30"/>
      <c r="AC581" s="31"/>
      <c r="AN581" s="32"/>
      <c r="AO581" s="57"/>
    </row>
    <row r="582" spans="6:41">
      <c r="F582" s="31"/>
      <c r="N582" s="30"/>
      <c r="V582" s="30"/>
      <c r="AC582" s="31"/>
      <c r="AN582" s="32"/>
      <c r="AO582" s="57"/>
    </row>
    <row r="583" spans="6:41">
      <c r="F583" s="31"/>
      <c r="N583" s="30"/>
      <c r="V583" s="30"/>
      <c r="AC583" s="31"/>
      <c r="AN583" s="32"/>
      <c r="AO583" s="57"/>
    </row>
    <row r="584" spans="6:41">
      <c r="F584" s="31"/>
      <c r="N584" s="30"/>
      <c r="V584" s="30"/>
      <c r="AC584" s="31"/>
      <c r="AN584" s="32"/>
      <c r="AO584" s="57"/>
    </row>
    <row r="585" spans="6:41">
      <c r="F585" s="31"/>
      <c r="N585" s="30"/>
      <c r="V585" s="30"/>
      <c r="AC585" s="31"/>
      <c r="AN585" s="32"/>
      <c r="AO585" s="57"/>
    </row>
    <row r="586" spans="6:41">
      <c r="F586" s="31"/>
      <c r="N586" s="30"/>
      <c r="V586" s="30"/>
      <c r="AC586" s="31"/>
      <c r="AN586" s="32"/>
      <c r="AO586" s="57"/>
    </row>
    <row r="587" spans="6:41">
      <c r="F587" s="31"/>
      <c r="N587" s="30"/>
      <c r="V587" s="30"/>
      <c r="AC587" s="31"/>
      <c r="AN587" s="32"/>
      <c r="AO587" s="57"/>
    </row>
    <row r="588" spans="6:41">
      <c r="F588" s="31"/>
      <c r="N588" s="30"/>
      <c r="V588" s="30"/>
      <c r="AC588" s="31"/>
      <c r="AN588" s="32"/>
      <c r="AO588" s="57"/>
    </row>
    <row r="589" spans="6:41">
      <c r="F589" s="31"/>
      <c r="N589" s="30"/>
      <c r="V589" s="30"/>
      <c r="AC589" s="31"/>
      <c r="AN589" s="32"/>
      <c r="AO589" s="57"/>
    </row>
    <row r="590" spans="6:41">
      <c r="F590" s="31"/>
      <c r="N590" s="30"/>
      <c r="V590" s="30"/>
      <c r="AC590" s="31"/>
      <c r="AN590" s="32"/>
      <c r="AO590" s="57"/>
    </row>
    <row r="591" spans="6:41">
      <c r="F591" s="31"/>
      <c r="N591" s="30"/>
      <c r="V591" s="30"/>
      <c r="AC591" s="31"/>
      <c r="AN591" s="32"/>
      <c r="AO591" s="57"/>
    </row>
    <row r="592" spans="6:41">
      <c r="F592" s="31"/>
      <c r="N592" s="30"/>
      <c r="V592" s="30"/>
      <c r="AC592" s="31"/>
      <c r="AN592" s="32"/>
      <c r="AO592" s="57"/>
    </row>
    <row r="593" spans="6:41">
      <c r="F593" s="31"/>
      <c r="N593" s="30"/>
      <c r="V593" s="30"/>
      <c r="AC593" s="31"/>
      <c r="AN593" s="32"/>
      <c r="AO593" s="57"/>
    </row>
    <row r="594" spans="6:41">
      <c r="F594" s="31"/>
      <c r="N594" s="30"/>
      <c r="V594" s="30"/>
      <c r="AC594" s="31"/>
      <c r="AN594" s="32"/>
      <c r="AO594" s="57"/>
    </row>
    <row r="595" spans="6:41">
      <c r="F595" s="31"/>
      <c r="N595" s="30"/>
      <c r="V595" s="30"/>
      <c r="AC595" s="31"/>
      <c r="AN595" s="32"/>
      <c r="AO595" s="57"/>
    </row>
    <row r="596" spans="6:41">
      <c r="F596" s="31"/>
      <c r="N596" s="30"/>
      <c r="V596" s="30"/>
      <c r="AC596" s="31"/>
      <c r="AN596" s="32"/>
      <c r="AO596" s="57"/>
    </row>
    <row r="597" spans="6:41">
      <c r="F597" s="31"/>
      <c r="N597" s="30"/>
      <c r="V597" s="30"/>
      <c r="AC597" s="31"/>
      <c r="AN597" s="32"/>
      <c r="AO597" s="57"/>
    </row>
    <row r="598" spans="6:41">
      <c r="F598" s="31"/>
      <c r="N598" s="30"/>
      <c r="V598" s="30"/>
      <c r="AC598" s="31"/>
      <c r="AN598" s="32"/>
      <c r="AO598" s="57"/>
    </row>
    <row r="599" spans="6:41">
      <c r="F599" s="31"/>
      <c r="N599" s="30"/>
      <c r="V599" s="30"/>
      <c r="AC599" s="31"/>
      <c r="AN599" s="32"/>
      <c r="AO599" s="57"/>
    </row>
    <row r="600" spans="6:41">
      <c r="F600" s="31"/>
      <c r="N600" s="30"/>
      <c r="V600" s="30"/>
      <c r="AC600" s="31"/>
      <c r="AN600" s="32"/>
      <c r="AO600" s="57"/>
    </row>
    <row r="601" spans="6:41">
      <c r="F601" s="31"/>
      <c r="N601" s="30"/>
      <c r="V601" s="30"/>
      <c r="AC601" s="31"/>
      <c r="AN601" s="32"/>
      <c r="AO601" s="57"/>
    </row>
    <row r="602" spans="6:41">
      <c r="F602" s="31"/>
      <c r="N602" s="30"/>
      <c r="V602" s="30"/>
      <c r="AC602" s="31"/>
      <c r="AN602" s="32"/>
      <c r="AO602" s="57"/>
    </row>
    <row r="603" spans="6:41">
      <c r="F603" s="31"/>
      <c r="N603" s="30"/>
      <c r="V603" s="30"/>
      <c r="AC603" s="31"/>
      <c r="AN603" s="32"/>
      <c r="AO603" s="57"/>
    </row>
    <row r="604" spans="6:41">
      <c r="F604" s="31"/>
      <c r="N604" s="30"/>
      <c r="V604" s="30"/>
      <c r="AC604" s="31"/>
      <c r="AN604" s="32"/>
      <c r="AO604" s="57"/>
    </row>
    <row r="605" spans="6:41">
      <c r="F605" s="31"/>
      <c r="N605" s="30"/>
      <c r="V605" s="30"/>
      <c r="AC605" s="31"/>
      <c r="AN605" s="32"/>
      <c r="AO605" s="57"/>
    </row>
    <row r="606" spans="6:41">
      <c r="F606" s="31"/>
      <c r="N606" s="30"/>
      <c r="V606" s="30"/>
      <c r="AC606" s="31"/>
      <c r="AN606" s="32"/>
      <c r="AO606" s="57"/>
    </row>
    <row r="607" spans="6:41">
      <c r="F607" s="31"/>
      <c r="N607" s="30"/>
      <c r="V607" s="30"/>
      <c r="AC607" s="31"/>
      <c r="AN607" s="32"/>
      <c r="AO607" s="57"/>
    </row>
    <row r="608" spans="6:41">
      <c r="F608" s="31"/>
      <c r="N608" s="30"/>
      <c r="V608" s="30"/>
      <c r="AC608" s="31"/>
      <c r="AN608" s="32"/>
      <c r="AO608" s="57"/>
    </row>
    <row r="609" spans="6:41">
      <c r="F609" s="31"/>
      <c r="N609" s="30"/>
      <c r="V609" s="30"/>
      <c r="AC609" s="31"/>
      <c r="AN609" s="32"/>
      <c r="AO609" s="57"/>
    </row>
    <row r="610" spans="6:41">
      <c r="F610" s="31"/>
      <c r="N610" s="30"/>
      <c r="V610" s="30"/>
      <c r="AC610" s="31"/>
      <c r="AN610" s="32"/>
      <c r="AO610" s="57"/>
    </row>
    <row r="611" spans="6:41">
      <c r="F611" s="31"/>
      <c r="N611" s="30"/>
      <c r="V611" s="30"/>
      <c r="AC611" s="31"/>
      <c r="AN611" s="32"/>
      <c r="AO611" s="57"/>
    </row>
    <row r="612" spans="6:41">
      <c r="F612" s="31"/>
      <c r="N612" s="30"/>
      <c r="V612" s="30"/>
      <c r="AC612" s="31"/>
      <c r="AN612" s="32"/>
      <c r="AO612" s="57"/>
    </row>
    <row r="613" spans="6:41">
      <c r="F613" s="31"/>
      <c r="N613" s="30"/>
      <c r="V613" s="30"/>
      <c r="AC613" s="31"/>
      <c r="AN613" s="32"/>
      <c r="AO613" s="57"/>
    </row>
    <row r="614" spans="6:41">
      <c r="F614" s="31"/>
      <c r="N614" s="30"/>
      <c r="V614" s="30"/>
      <c r="AC614" s="31"/>
      <c r="AN614" s="32"/>
      <c r="AO614" s="57"/>
    </row>
    <row r="615" spans="6:41">
      <c r="F615" s="31"/>
      <c r="N615" s="30"/>
      <c r="V615" s="30"/>
      <c r="AC615" s="31"/>
      <c r="AN615" s="32"/>
      <c r="AO615" s="57"/>
    </row>
    <row r="616" spans="6:41">
      <c r="F616" s="31"/>
      <c r="N616" s="30"/>
      <c r="V616" s="30"/>
      <c r="AC616" s="31"/>
      <c r="AN616" s="32"/>
      <c r="AO616" s="57"/>
    </row>
    <row r="617" spans="6:41">
      <c r="F617" s="31"/>
      <c r="N617" s="30"/>
      <c r="V617" s="30"/>
      <c r="AC617" s="31"/>
      <c r="AN617" s="32"/>
      <c r="AO617" s="57"/>
    </row>
    <row r="618" spans="6:41">
      <c r="F618" s="31"/>
      <c r="N618" s="30"/>
      <c r="V618" s="30"/>
      <c r="AC618" s="31"/>
      <c r="AN618" s="32"/>
      <c r="AO618" s="57"/>
    </row>
    <row r="619" spans="6:41">
      <c r="F619" s="31"/>
      <c r="N619" s="30"/>
      <c r="V619" s="30"/>
      <c r="AC619" s="31"/>
      <c r="AN619" s="32"/>
      <c r="AO619" s="57"/>
    </row>
    <row r="620" spans="6:41">
      <c r="F620" s="31"/>
      <c r="N620" s="30"/>
      <c r="V620" s="30"/>
      <c r="AC620" s="31"/>
      <c r="AN620" s="32"/>
      <c r="AO620" s="57"/>
    </row>
    <row r="621" spans="6:41">
      <c r="F621" s="31"/>
      <c r="N621" s="30"/>
      <c r="V621" s="30"/>
      <c r="AC621" s="31"/>
      <c r="AN621" s="32"/>
      <c r="AO621" s="57"/>
    </row>
    <row r="622" spans="6:41">
      <c r="F622" s="31"/>
      <c r="N622" s="30"/>
      <c r="V622" s="30"/>
      <c r="AC622" s="31"/>
      <c r="AN622" s="32"/>
      <c r="AO622" s="57"/>
    </row>
    <row r="623" spans="6:41">
      <c r="F623" s="31"/>
      <c r="N623" s="30"/>
      <c r="V623" s="30"/>
      <c r="AC623" s="31"/>
      <c r="AN623" s="32"/>
      <c r="AO623" s="57"/>
    </row>
    <row r="624" spans="6:41">
      <c r="F624" s="31"/>
      <c r="N624" s="30"/>
      <c r="V624" s="30"/>
      <c r="AC624" s="31"/>
      <c r="AN624" s="32"/>
      <c r="AO624" s="57"/>
    </row>
    <row r="625" spans="6:41">
      <c r="F625" s="31"/>
      <c r="N625" s="30"/>
      <c r="V625" s="30"/>
      <c r="AC625" s="31"/>
      <c r="AN625" s="32"/>
      <c r="AO625" s="57"/>
    </row>
    <row r="626" spans="6:41">
      <c r="F626" s="31"/>
      <c r="N626" s="30"/>
      <c r="V626" s="30"/>
      <c r="AC626" s="31"/>
      <c r="AN626" s="32"/>
      <c r="AO626" s="57"/>
    </row>
    <row r="627" spans="6:41">
      <c r="F627" s="31"/>
      <c r="N627" s="30"/>
      <c r="V627" s="30"/>
      <c r="AC627" s="31"/>
      <c r="AN627" s="32"/>
      <c r="AO627" s="57"/>
    </row>
    <row r="628" spans="6:41">
      <c r="F628" s="31"/>
      <c r="N628" s="30"/>
      <c r="V628" s="30"/>
      <c r="AC628" s="31"/>
      <c r="AN628" s="32"/>
      <c r="AO628" s="57"/>
    </row>
    <row r="629" spans="6:41">
      <c r="F629" s="31"/>
      <c r="N629" s="30"/>
      <c r="V629" s="30"/>
      <c r="AC629" s="31"/>
      <c r="AN629" s="32"/>
      <c r="AO629" s="57"/>
    </row>
    <row r="630" spans="6:41">
      <c r="F630" s="31"/>
      <c r="N630" s="30"/>
      <c r="V630" s="30"/>
      <c r="AC630" s="31"/>
      <c r="AN630" s="32"/>
      <c r="AO630" s="57"/>
    </row>
    <row r="631" spans="6:41">
      <c r="F631" s="31"/>
      <c r="N631" s="30"/>
      <c r="V631" s="30"/>
      <c r="AC631" s="31"/>
      <c r="AN631" s="32"/>
      <c r="AO631" s="57"/>
    </row>
    <row r="632" spans="6:41">
      <c r="F632" s="31"/>
      <c r="N632" s="30"/>
      <c r="V632" s="30"/>
      <c r="AC632" s="31"/>
      <c r="AN632" s="32"/>
      <c r="AO632" s="57"/>
    </row>
    <row r="633" spans="6:41">
      <c r="F633" s="31"/>
      <c r="N633" s="30"/>
      <c r="V633" s="30"/>
      <c r="AC633" s="31"/>
      <c r="AN633" s="32"/>
      <c r="AO633" s="57"/>
    </row>
    <row r="634" spans="6:41">
      <c r="F634" s="31"/>
      <c r="N634" s="30"/>
      <c r="V634" s="30"/>
      <c r="AC634" s="31"/>
      <c r="AN634" s="32"/>
      <c r="AO634" s="57"/>
    </row>
    <row r="635" spans="6:41">
      <c r="F635" s="31"/>
      <c r="N635" s="30"/>
      <c r="V635" s="30"/>
      <c r="AC635" s="31"/>
      <c r="AN635" s="32"/>
      <c r="AO635" s="57"/>
    </row>
    <row r="636" spans="6:41">
      <c r="F636" s="31"/>
      <c r="N636" s="30"/>
      <c r="V636" s="30"/>
      <c r="AC636" s="31"/>
      <c r="AN636" s="32"/>
      <c r="AO636" s="57"/>
    </row>
    <row r="637" spans="6:41">
      <c r="F637" s="31"/>
      <c r="N637" s="30"/>
      <c r="V637" s="30"/>
      <c r="AC637" s="31"/>
      <c r="AN637" s="32"/>
      <c r="AO637" s="57"/>
    </row>
    <row r="638" spans="6:41">
      <c r="F638" s="31"/>
      <c r="N638" s="30"/>
      <c r="V638" s="30"/>
      <c r="AC638" s="31"/>
      <c r="AN638" s="32"/>
      <c r="AO638" s="57"/>
    </row>
    <row r="639" spans="6:41">
      <c r="F639" s="31"/>
      <c r="N639" s="30"/>
      <c r="V639" s="30"/>
      <c r="AC639" s="31"/>
      <c r="AN639" s="32"/>
      <c r="AO639" s="57"/>
    </row>
    <row r="640" spans="6:41">
      <c r="F640" s="31"/>
      <c r="N640" s="30"/>
      <c r="V640" s="30"/>
      <c r="AC640" s="31"/>
      <c r="AN640" s="32"/>
      <c r="AO640" s="57"/>
    </row>
    <row r="641" spans="6:41">
      <c r="F641" s="31"/>
      <c r="N641" s="30"/>
      <c r="V641" s="30"/>
      <c r="AC641" s="31"/>
      <c r="AN641" s="32"/>
      <c r="AO641" s="57"/>
    </row>
    <row r="642" spans="6:41">
      <c r="F642" s="31"/>
      <c r="N642" s="30"/>
      <c r="V642" s="30"/>
      <c r="AC642" s="31"/>
      <c r="AN642" s="32"/>
      <c r="AO642" s="57"/>
    </row>
    <row r="643" spans="6:41">
      <c r="F643" s="31"/>
      <c r="N643" s="30"/>
      <c r="V643" s="30"/>
      <c r="AC643" s="31"/>
      <c r="AN643" s="32"/>
      <c r="AO643" s="57"/>
    </row>
    <row r="644" spans="6:41">
      <c r="F644" s="31"/>
      <c r="N644" s="30"/>
      <c r="V644" s="30"/>
      <c r="AC644" s="31"/>
      <c r="AN644" s="32"/>
      <c r="AO644" s="57"/>
    </row>
    <row r="645" spans="6:41">
      <c r="F645" s="31"/>
      <c r="N645" s="30"/>
      <c r="V645" s="30"/>
      <c r="AC645" s="31"/>
      <c r="AN645" s="32"/>
      <c r="AO645" s="57"/>
    </row>
    <row r="646" spans="6:41">
      <c r="F646" s="31"/>
      <c r="N646" s="30"/>
      <c r="V646" s="30"/>
      <c r="AC646" s="31"/>
      <c r="AN646" s="32"/>
      <c r="AO646" s="57"/>
    </row>
    <row r="647" spans="6:41">
      <c r="F647" s="31"/>
      <c r="N647" s="30"/>
      <c r="V647" s="30"/>
      <c r="AC647" s="31"/>
      <c r="AN647" s="32"/>
      <c r="AO647" s="57"/>
    </row>
    <row r="648" spans="6:41">
      <c r="F648" s="31"/>
      <c r="N648" s="30"/>
      <c r="V648" s="30"/>
      <c r="AC648" s="31"/>
      <c r="AN648" s="32"/>
      <c r="AO648" s="57"/>
    </row>
    <row r="649" spans="6:41">
      <c r="F649" s="31"/>
      <c r="N649" s="30"/>
      <c r="V649" s="30"/>
      <c r="AC649" s="31"/>
      <c r="AN649" s="32"/>
      <c r="AO649" s="57"/>
    </row>
    <row r="650" spans="6:41">
      <c r="F650" s="31"/>
      <c r="N650" s="30"/>
      <c r="V650" s="30"/>
      <c r="AC650" s="31"/>
      <c r="AN650" s="32"/>
      <c r="AO650" s="57"/>
    </row>
    <row r="651" spans="6:41">
      <c r="F651" s="31"/>
      <c r="N651" s="30"/>
      <c r="V651" s="30"/>
      <c r="AC651" s="31"/>
      <c r="AN651" s="32"/>
      <c r="AO651" s="57"/>
    </row>
    <row r="652" spans="6:41">
      <c r="F652" s="31"/>
      <c r="N652" s="30"/>
      <c r="V652" s="30"/>
      <c r="AC652" s="31"/>
      <c r="AN652" s="32"/>
      <c r="AO652" s="57"/>
    </row>
    <row r="653" spans="6:41">
      <c r="F653" s="31"/>
      <c r="N653" s="30"/>
      <c r="V653" s="30"/>
      <c r="AC653" s="31"/>
      <c r="AN653" s="32"/>
      <c r="AO653" s="57"/>
    </row>
    <row r="654" spans="6:41">
      <c r="F654" s="31"/>
      <c r="N654" s="30"/>
      <c r="V654" s="30"/>
      <c r="AC654" s="31"/>
      <c r="AN654" s="32"/>
      <c r="AO654" s="57"/>
    </row>
    <row r="655" spans="6:41">
      <c r="F655" s="31"/>
      <c r="N655" s="30"/>
      <c r="V655" s="30"/>
      <c r="AC655" s="31"/>
      <c r="AN655" s="32"/>
      <c r="AO655" s="57"/>
    </row>
    <row r="656" spans="6:41">
      <c r="F656" s="31"/>
      <c r="N656" s="30"/>
      <c r="V656" s="30"/>
      <c r="AC656" s="31"/>
      <c r="AN656" s="32"/>
      <c r="AO656" s="57"/>
    </row>
    <row r="657" spans="6:41">
      <c r="F657" s="31"/>
      <c r="N657" s="30"/>
      <c r="V657" s="30"/>
      <c r="AC657" s="31"/>
      <c r="AN657" s="32"/>
      <c r="AO657" s="57"/>
    </row>
    <row r="658" spans="6:41">
      <c r="F658" s="31"/>
      <c r="N658" s="30"/>
      <c r="V658" s="30"/>
      <c r="AC658" s="31"/>
      <c r="AN658" s="32"/>
      <c r="AO658" s="57"/>
    </row>
    <row r="659" spans="6:41">
      <c r="F659" s="31"/>
      <c r="N659" s="30"/>
      <c r="V659" s="30"/>
      <c r="AC659" s="31"/>
      <c r="AN659" s="32"/>
      <c r="AO659" s="57"/>
    </row>
    <row r="660" spans="6:41">
      <c r="F660" s="31"/>
      <c r="N660" s="30"/>
      <c r="V660" s="30"/>
      <c r="AC660" s="31"/>
      <c r="AN660" s="32"/>
      <c r="AO660" s="57"/>
    </row>
    <row r="661" spans="6:41">
      <c r="F661" s="31"/>
      <c r="N661" s="30"/>
      <c r="V661" s="30"/>
      <c r="AC661" s="31"/>
      <c r="AN661" s="32"/>
      <c r="AO661" s="57"/>
    </row>
    <row r="662" spans="6:41">
      <c r="F662" s="31"/>
      <c r="N662" s="30"/>
      <c r="V662" s="30"/>
      <c r="AC662" s="31"/>
      <c r="AN662" s="32"/>
      <c r="AO662" s="57"/>
    </row>
    <row r="663" spans="6:41">
      <c r="F663" s="31"/>
      <c r="N663" s="30"/>
      <c r="V663" s="30"/>
      <c r="AC663" s="31"/>
      <c r="AN663" s="32"/>
      <c r="AO663" s="57"/>
    </row>
    <row r="664" spans="6:41">
      <c r="F664" s="31"/>
      <c r="N664" s="30"/>
      <c r="V664" s="30"/>
      <c r="AC664" s="31"/>
      <c r="AN664" s="32"/>
      <c r="AO664" s="57"/>
    </row>
    <row r="665" spans="6:41">
      <c r="F665" s="31"/>
      <c r="N665" s="30"/>
      <c r="V665" s="30"/>
      <c r="AC665" s="31"/>
      <c r="AN665" s="32"/>
      <c r="AO665" s="57"/>
    </row>
    <row r="666" spans="6:41">
      <c r="F666" s="31"/>
      <c r="N666" s="30"/>
      <c r="V666" s="30"/>
      <c r="AC666" s="31"/>
      <c r="AN666" s="32"/>
      <c r="AO666" s="57"/>
    </row>
    <row r="667" spans="6:41">
      <c r="F667" s="31"/>
      <c r="N667" s="30"/>
      <c r="V667" s="30"/>
      <c r="AC667" s="31"/>
      <c r="AN667" s="32"/>
      <c r="AO667" s="57"/>
    </row>
    <row r="668" spans="6:41">
      <c r="F668" s="31"/>
      <c r="N668" s="30"/>
      <c r="V668" s="30"/>
      <c r="AC668" s="31"/>
      <c r="AN668" s="32"/>
      <c r="AO668" s="57"/>
    </row>
    <row r="669" spans="6:41">
      <c r="F669" s="31"/>
      <c r="N669" s="30"/>
      <c r="V669" s="30"/>
      <c r="AC669" s="31"/>
      <c r="AN669" s="32"/>
      <c r="AO669" s="57"/>
    </row>
    <row r="670" spans="6:41">
      <c r="F670" s="31"/>
      <c r="N670" s="30"/>
      <c r="V670" s="30"/>
      <c r="AC670" s="31"/>
      <c r="AN670" s="32"/>
      <c r="AO670" s="57"/>
    </row>
    <row r="671" spans="6:41">
      <c r="F671" s="31"/>
      <c r="N671" s="30"/>
      <c r="V671" s="30"/>
      <c r="AC671" s="31"/>
      <c r="AN671" s="32"/>
      <c r="AO671" s="57"/>
    </row>
    <row r="672" spans="6:41">
      <c r="F672" s="31"/>
      <c r="N672" s="30"/>
      <c r="V672" s="30"/>
      <c r="AC672" s="31"/>
      <c r="AN672" s="32"/>
      <c r="AO672" s="57"/>
    </row>
    <row r="673" spans="6:41">
      <c r="F673" s="31"/>
      <c r="N673" s="30"/>
      <c r="V673" s="30"/>
      <c r="AC673" s="31"/>
      <c r="AN673" s="32"/>
      <c r="AO673" s="57"/>
    </row>
    <row r="674" spans="6:41">
      <c r="F674" s="31"/>
      <c r="N674" s="30"/>
      <c r="V674" s="30"/>
      <c r="AC674" s="31"/>
      <c r="AN674" s="32"/>
      <c r="AO674" s="57"/>
    </row>
    <row r="675" spans="6:41">
      <c r="F675" s="31"/>
      <c r="N675" s="30"/>
      <c r="V675" s="30"/>
      <c r="AC675" s="31"/>
      <c r="AN675" s="32"/>
      <c r="AO675" s="57"/>
    </row>
    <row r="676" spans="6:41">
      <c r="F676" s="31"/>
      <c r="N676" s="30"/>
      <c r="V676" s="30"/>
      <c r="AC676" s="31"/>
      <c r="AN676" s="32"/>
      <c r="AO676" s="57"/>
    </row>
    <row r="677" spans="6:41">
      <c r="F677" s="31"/>
      <c r="N677" s="30"/>
      <c r="V677" s="30"/>
      <c r="AC677" s="31"/>
      <c r="AN677" s="32"/>
      <c r="AO677" s="57"/>
    </row>
    <row r="678" spans="6:41">
      <c r="F678" s="31"/>
      <c r="N678" s="30"/>
      <c r="V678" s="30"/>
      <c r="AC678" s="31"/>
      <c r="AN678" s="32"/>
      <c r="AO678" s="57"/>
    </row>
    <row r="679" spans="6:41">
      <c r="F679" s="31"/>
      <c r="N679" s="30"/>
      <c r="V679" s="30"/>
      <c r="AC679" s="31"/>
      <c r="AN679" s="32"/>
      <c r="AO679" s="57"/>
    </row>
    <row r="680" spans="6:41">
      <c r="F680" s="31"/>
      <c r="N680" s="30"/>
      <c r="V680" s="30"/>
      <c r="AC680" s="31"/>
      <c r="AN680" s="32"/>
      <c r="AO680" s="57"/>
    </row>
    <row r="681" spans="6:41">
      <c r="F681" s="31"/>
      <c r="N681" s="30"/>
      <c r="V681" s="30"/>
      <c r="AC681" s="31"/>
      <c r="AN681" s="32"/>
      <c r="AO681" s="57"/>
    </row>
    <row r="682" spans="6:41">
      <c r="F682" s="31"/>
      <c r="N682" s="30"/>
      <c r="V682" s="30"/>
      <c r="AC682" s="31"/>
      <c r="AN682" s="32"/>
      <c r="AO682" s="57"/>
    </row>
    <row r="683" spans="6:41">
      <c r="F683" s="31"/>
      <c r="N683" s="30"/>
      <c r="V683" s="30"/>
      <c r="AC683" s="31"/>
      <c r="AN683" s="32"/>
      <c r="AO683" s="57"/>
    </row>
    <row r="684" spans="6:41">
      <c r="F684" s="31"/>
      <c r="N684" s="30"/>
      <c r="V684" s="30"/>
      <c r="AC684" s="31"/>
      <c r="AN684" s="32"/>
      <c r="AO684" s="57"/>
    </row>
    <row r="685" spans="6:41">
      <c r="F685" s="31"/>
      <c r="N685" s="30"/>
      <c r="V685" s="30"/>
      <c r="AC685" s="31"/>
      <c r="AN685" s="32"/>
      <c r="AO685" s="57"/>
    </row>
    <row r="686" spans="6:41">
      <c r="F686" s="31"/>
      <c r="N686" s="30"/>
      <c r="V686" s="30"/>
      <c r="AC686" s="31"/>
      <c r="AN686" s="32"/>
      <c r="AO686" s="57"/>
    </row>
    <row r="687" spans="6:41">
      <c r="F687" s="31"/>
      <c r="N687" s="30"/>
      <c r="V687" s="30"/>
      <c r="AC687" s="31"/>
      <c r="AN687" s="32"/>
      <c r="AO687" s="57"/>
    </row>
    <row r="688" spans="6:41">
      <c r="F688" s="31"/>
      <c r="N688" s="30"/>
      <c r="V688" s="30"/>
      <c r="AC688" s="31"/>
      <c r="AN688" s="32"/>
      <c r="AO688" s="57"/>
    </row>
    <row r="689" spans="6:41">
      <c r="F689" s="31"/>
      <c r="N689" s="30"/>
      <c r="V689" s="30"/>
      <c r="AC689" s="31"/>
      <c r="AN689" s="32"/>
      <c r="AO689" s="57"/>
    </row>
    <row r="690" spans="6:41">
      <c r="F690" s="31"/>
      <c r="N690" s="30"/>
      <c r="V690" s="30"/>
      <c r="AC690" s="31"/>
      <c r="AN690" s="32"/>
      <c r="AO690" s="57"/>
    </row>
    <row r="691" spans="6:41">
      <c r="F691" s="31"/>
      <c r="N691" s="30"/>
      <c r="V691" s="30"/>
      <c r="AC691" s="31"/>
      <c r="AN691" s="32"/>
      <c r="AO691" s="57"/>
    </row>
    <row r="692" spans="6:41">
      <c r="F692" s="31"/>
      <c r="N692" s="30"/>
      <c r="V692" s="30"/>
      <c r="AC692" s="31"/>
      <c r="AN692" s="32"/>
      <c r="AO692" s="57"/>
    </row>
    <row r="693" spans="6:41">
      <c r="F693" s="31"/>
      <c r="N693" s="30"/>
      <c r="V693" s="30"/>
      <c r="AC693" s="31"/>
      <c r="AN693" s="32"/>
      <c r="AO693" s="57"/>
    </row>
    <row r="694" spans="6:41">
      <c r="F694" s="31"/>
      <c r="N694" s="30"/>
      <c r="V694" s="30"/>
      <c r="AC694" s="31"/>
      <c r="AN694" s="32"/>
      <c r="AO694" s="57"/>
    </row>
    <row r="695" spans="6:41">
      <c r="F695" s="31"/>
      <c r="N695" s="30"/>
      <c r="V695" s="30"/>
      <c r="AC695" s="31"/>
      <c r="AN695" s="32"/>
      <c r="AO695" s="57"/>
    </row>
    <row r="696" spans="6:41">
      <c r="F696" s="31"/>
      <c r="N696" s="30"/>
      <c r="V696" s="30"/>
      <c r="AC696" s="31"/>
      <c r="AN696" s="32"/>
      <c r="AO696" s="57"/>
    </row>
    <row r="697" spans="6:41">
      <c r="F697" s="31"/>
      <c r="N697" s="30"/>
      <c r="V697" s="30"/>
      <c r="AC697" s="31"/>
      <c r="AN697" s="32"/>
      <c r="AO697" s="57"/>
    </row>
    <row r="698" spans="6:41">
      <c r="F698" s="31"/>
      <c r="N698" s="30"/>
      <c r="V698" s="30"/>
      <c r="AC698" s="31"/>
      <c r="AN698" s="32"/>
      <c r="AO698" s="57"/>
    </row>
    <row r="699" spans="6:41">
      <c r="F699" s="31"/>
      <c r="N699" s="30"/>
      <c r="V699" s="30"/>
      <c r="AC699" s="31"/>
      <c r="AN699" s="32"/>
      <c r="AO699" s="57"/>
    </row>
    <row r="700" spans="6:41">
      <c r="F700" s="31"/>
      <c r="N700" s="30"/>
      <c r="V700" s="30"/>
      <c r="AC700" s="31"/>
      <c r="AN700" s="32"/>
      <c r="AO700" s="57"/>
    </row>
    <row r="701" spans="6:41">
      <c r="F701" s="31"/>
      <c r="N701" s="30"/>
      <c r="V701" s="30"/>
      <c r="AC701" s="31"/>
      <c r="AN701" s="32"/>
      <c r="AO701" s="57"/>
    </row>
    <row r="702" spans="6:41">
      <c r="F702" s="31"/>
      <c r="N702" s="30"/>
      <c r="V702" s="30"/>
      <c r="AC702" s="31"/>
      <c r="AN702" s="32"/>
      <c r="AO702" s="57"/>
    </row>
    <row r="703" spans="6:41">
      <c r="F703" s="31"/>
      <c r="N703" s="30"/>
      <c r="V703" s="30"/>
      <c r="AC703" s="31"/>
      <c r="AN703" s="32"/>
      <c r="AO703" s="57"/>
    </row>
    <row r="704" spans="6:41">
      <c r="F704" s="31"/>
      <c r="N704" s="30"/>
      <c r="V704" s="30"/>
      <c r="AC704" s="31"/>
      <c r="AN704" s="32"/>
      <c r="AO704" s="57"/>
    </row>
    <row r="705" spans="6:41">
      <c r="F705" s="31"/>
      <c r="N705" s="30"/>
      <c r="V705" s="30"/>
      <c r="AC705" s="31"/>
      <c r="AN705" s="32"/>
      <c r="AO705" s="57"/>
    </row>
    <row r="706" spans="6:41">
      <c r="F706" s="31"/>
      <c r="N706" s="30"/>
      <c r="V706" s="30"/>
      <c r="AC706" s="31"/>
      <c r="AN706" s="32"/>
      <c r="AO706" s="57"/>
    </row>
    <row r="707" spans="6:41">
      <c r="F707" s="31"/>
      <c r="N707" s="30"/>
      <c r="V707" s="30"/>
      <c r="AC707" s="31"/>
      <c r="AN707" s="32"/>
      <c r="AO707" s="57"/>
    </row>
    <row r="708" spans="6:41">
      <c r="F708" s="31"/>
      <c r="N708" s="30"/>
      <c r="V708" s="30"/>
      <c r="AC708" s="31"/>
      <c r="AN708" s="32"/>
      <c r="AO708" s="57"/>
    </row>
    <row r="709" spans="6:41">
      <c r="F709" s="31"/>
      <c r="N709" s="30"/>
      <c r="V709" s="30"/>
      <c r="AC709" s="31"/>
      <c r="AN709" s="32"/>
      <c r="AO709" s="57"/>
    </row>
    <row r="710" spans="6:41">
      <c r="F710" s="31"/>
      <c r="N710" s="30"/>
      <c r="V710" s="30"/>
      <c r="AC710" s="31"/>
      <c r="AN710" s="32"/>
      <c r="AO710" s="57"/>
    </row>
    <row r="711" spans="6:41">
      <c r="F711" s="31"/>
      <c r="N711" s="30"/>
      <c r="V711" s="30"/>
      <c r="AC711" s="31"/>
      <c r="AN711" s="32"/>
      <c r="AO711" s="57"/>
    </row>
    <row r="712" spans="6:41">
      <c r="F712" s="31"/>
      <c r="N712" s="30"/>
      <c r="V712" s="30"/>
      <c r="AC712" s="31"/>
      <c r="AN712" s="32"/>
      <c r="AO712" s="57"/>
    </row>
    <row r="713" spans="6:41">
      <c r="F713" s="31"/>
      <c r="N713" s="30"/>
      <c r="V713" s="30"/>
      <c r="AC713" s="31"/>
      <c r="AN713" s="32"/>
      <c r="AO713" s="57"/>
    </row>
    <row r="714" spans="6:41">
      <c r="F714" s="31"/>
      <c r="N714" s="30"/>
      <c r="V714" s="30"/>
      <c r="AC714" s="31"/>
      <c r="AN714" s="32"/>
      <c r="AO714" s="57"/>
    </row>
    <row r="715" spans="6:41">
      <c r="F715" s="31"/>
      <c r="N715" s="30"/>
      <c r="V715" s="30"/>
      <c r="AC715" s="31"/>
      <c r="AN715" s="32"/>
      <c r="AO715" s="57"/>
    </row>
    <row r="716" spans="6:41">
      <c r="F716" s="31"/>
      <c r="N716" s="30"/>
      <c r="V716" s="30"/>
      <c r="AC716" s="31"/>
      <c r="AN716" s="32"/>
      <c r="AO716" s="57"/>
    </row>
    <row r="717" spans="6:41">
      <c r="F717" s="31"/>
      <c r="N717" s="30"/>
      <c r="V717" s="30"/>
      <c r="AC717" s="31"/>
      <c r="AN717" s="32"/>
      <c r="AO717" s="57"/>
    </row>
    <row r="718" spans="6:41">
      <c r="F718" s="31"/>
      <c r="N718" s="30"/>
      <c r="V718" s="30"/>
      <c r="AC718" s="31"/>
      <c r="AN718" s="32"/>
      <c r="AO718" s="57"/>
    </row>
    <row r="719" spans="6:41">
      <c r="F719" s="31"/>
      <c r="N719" s="30"/>
      <c r="V719" s="30"/>
      <c r="AC719" s="31"/>
      <c r="AN719" s="32"/>
      <c r="AO719" s="57"/>
    </row>
    <row r="720" spans="6:41">
      <c r="F720" s="31"/>
      <c r="N720" s="30"/>
      <c r="V720" s="30"/>
      <c r="AC720" s="31"/>
      <c r="AN720" s="32"/>
      <c r="AO720" s="57"/>
    </row>
    <row r="721" spans="6:41">
      <c r="F721" s="31"/>
      <c r="N721" s="30"/>
      <c r="V721" s="30"/>
      <c r="AC721" s="31"/>
      <c r="AN721" s="32"/>
      <c r="AO721" s="57"/>
    </row>
    <row r="722" spans="6:41">
      <c r="F722" s="31"/>
      <c r="N722" s="30"/>
      <c r="V722" s="30"/>
      <c r="AC722" s="31"/>
      <c r="AN722" s="32"/>
      <c r="AO722" s="57"/>
    </row>
    <row r="723" spans="6:41">
      <c r="F723" s="31"/>
      <c r="N723" s="30"/>
      <c r="V723" s="30"/>
      <c r="AC723" s="31"/>
      <c r="AN723" s="32"/>
      <c r="AO723" s="57"/>
    </row>
    <row r="724" spans="6:41">
      <c r="F724" s="31"/>
      <c r="N724" s="30"/>
      <c r="V724" s="30"/>
      <c r="AC724" s="31"/>
      <c r="AN724" s="32"/>
      <c r="AO724" s="57"/>
    </row>
    <row r="725" spans="6:41">
      <c r="F725" s="31"/>
      <c r="N725" s="30"/>
      <c r="V725" s="30"/>
      <c r="AC725" s="31"/>
      <c r="AN725" s="32"/>
      <c r="AO725" s="57"/>
    </row>
    <row r="726" spans="6:41">
      <c r="F726" s="31"/>
      <c r="N726" s="30"/>
      <c r="V726" s="30"/>
      <c r="AC726" s="31"/>
      <c r="AN726" s="32"/>
      <c r="AO726" s="57"/>
    </row>
    <row r="727" spans="6:41">
      <c r="F727" s="31"/>
      <c r="N727" s="30"/>
      <c r="V727" s="30"/>
      <c r="AC727" s="31"/>
      <c r="AN727" s="32"/>
      <c r="AO727" s="57"/>
    </row>
    <row r="728" spans="6:41">
      <c r="F728" s="31"/>
      <c r="N728" s="30"/>
      <c r="V728" s="30"/>
      <c r="AC728" s="31"/>
      <c r="AN728" s="32"/>
      <c r="AO728" s="57"/>
    </row>
    <row r="729" spans="6:41">
      <c r="F729" s="31"/>
      <c r="N729" s="30"/>
      <c r="V729" s="30"/>
      <c r="AC729" s="31"/>
      <c r="AN729" s="32"/>
      <c r="AO729" s="57"/>
    </row>
    <row r="730" spans="6:41">
      <c r="F730" s="31"/>
      <c r="N730" s="30"/>
      <c r="V730" s="30"/>
      <c r="AC730" s="31"/>
      <c r="AN730" s="32"/>
      <c r="AO730" s="57"/>
    </row>
    <row r="731" spans="6:41">
      <c r="F731" s="31"/>
      <c r="N731" s="30"/>
      <c r="V731" s="30"/>
      <c r="AC731" s="31"/>
      <c r="AN731" s="32"/>
      <c r="AO731" s="57"/>
    </row>
    <row r="732" spans="6:41">
      <c r="F732" s="31"/>
      <c r="N732" s="30"/>
      <c r="V732" s="30"/>
      <c r="AC732" s="31"/>
      <c r="AN732" s="32"/>
      <c r="AO732" s="57"/>
    </row>
    <row r="733" spans="6:41">
      <c r="F733" s="31"/>
      <c r="N733" s="30"/>
      <c r="V733" s="30"/>
      <c r="AC733" s="31"/>
      <c r="AN733" s="32"/>
      <c r="AO733" s="57"/>
    </row>
    <row r="734" spans="6:41">
      <c r="F734" s="31"/>
      <c r="N734" s="30"/>
      <c r="V734" s="30"/>
      <c r="AC734" s="31"/>
      <c r="AN734" s="32"/>
      <c r="AO734" s="57"/>
    </row>
    <row r="735" spans="6:41">
      <c r="F735" s="31"/>
      <c r="N735" s="30"/>
      <c r="V735" s="30"/>
      <c r="AC735" s="31"/>
      <c r="AN735" s="32"/>
      <c r="AO735" s="57"/>
    </row>
    <row r="736" spans="6:41">
      <c r="F736" s="31"/>
      <c r="N736" s="30"/>
      <c r="V736" s="30"/>
      <c r="AC736" s="31"/>
      <c r="AN736" s="32"/>
      <c r="AO736" s="57"/>
    </row>
    <row r="737" spans="6:41">
      <c r="F737" s="31"/>
      <c r="N737" s="30"/>
      <c r="V737" s="30"/>
      <c r="AC737" s="31"/>
      <c r="AN737" s="32"/>
      <c r="AO737" s="57"/>
    </row>
    <row r="738" spans="6:41">
      <c r="F738" s="31"/>
      <c r="N738" s="30"/>
      <c r="V738" s="30"/>
      <c r="AC738" s="31"/>
      <c r="AN738" s="32"/>
      <c r="AO738" s="57"/>
    </row>
    <row r="739" spans="6:41">
      <c r="F739" s="31"/>
      <c r="N739" s="30"/>
      <c r="V739" s="30"/>
      <c r="AC739" s="31"/>
      <c r="AN739" s="32"/>
      <c r="AO739" s="57"/>
    </row>
    <row r="740" spans="6:41">
      <c r="F740" s="31"/>
      <c r="N740" s="30"/>
      <c r="V740" s="30"/>
      <c r="AC740" s="31"/>
      <c r="AN740" s="32"/>
      <c r="AO740" s="57"/>
    </row>
    <row r="741" spans="6:41">
      <c r="F741" s="31"/>
      <c r="N741" s="30"/>
      <c r="V741" s="30"/>
      <c r="AC741" s="31"/>
      <c r="AN741" s="32"/>
      <c r="AO741" s="57"/>
    </row>
    <row r="742" spans="6:41">
      <c r="F742" s="31"/>
      <c r="N742" s="30"/>
      <c r="V742" s="30"/>
      <c r="AC742" s="31"/>
      <c r="AN742" s="32"/>
      <c r="AO742" s="57"/>
    </row>
    <row r="743" spans="6:41">
      <c r="F743" s="31"/>
      <c r="N743" s="30"/>
      <c r="V743" s="30"/>
      <c r="AC743" s="31"/>
      <c r="AN743" s="32"/>
      <c r="AO743" s="57"/>
    </row>
    <row r="744" spans="6:41">
      <c r="F744" s="31"/>
      <c r="N744" s="30"/>
      <c r="V744" s="30"/>
      <c r="AC744" s="31"/>
      <c r="AN744" s="32"/>
      <c r="AO744" s="57"/>
    </row>
    <row r="745" spans="6:41">
      <c r="F745" s="31"/>
      <c r="N745" s="30"/>
      <c r="V745" s="30"/>
      <c r="AC745" s="31"/>
      <c r="AN745" s="32"/>
      <c r="AO745" s="57"/>
    </row>
    <row r="746" spans="6:41">
      <c r="F746" s="31"/>
      <c r="N746" s="30"/>
      <c r="V746" s="30"/>
      <c r="AC746" s="31"/>
      <c r="AN746" s="32"/>
      <c r="AO746" s="57"/>
    </row>
    <row r="747" spans="6:41">
      <c r="F747" s="31"/>
      <c r="N747" s="30"/>
      <c r="V747" s="30"/>
      <c r="AC747" s="31"/>
      <c r="AN747" s="32"/>
      <c r="AO747" s="57"/>
    </row>
    <row r="748" spans="6:41">
      <c r="F748" s="31"/>
      <c r="N748" s="30"/>
      <c r="V748" s="30"/>
      <c r="AC748" s="31"/>
      <c r="AN748" s="32"/>
      <c r="AO748" s="57"/>
    </row>
    <row r="749" spans="6:41">
      <c r="F749" s="31"/>
      <c r="N749" s="30"/>
      <c r="V749" s="30"/>
      <c r="AC749" s="31"/>
      <c r="AN749" s="32"/>
      <c r="AO749" s="57"/>
    </row>
    <row r="750" spans="6:41">
      <c r="F750" s="31"/>
      <c r="N750" s="30"/>
      <c r="V750" s="30"/>
      <c r="AC750" s="31"/>
      <c r="AN750" s="32"/>
      <c r="AO750" s="57"/>
    </row>
    <row r="751" spans="6:41">
      <c r="F751" s="31"/>
      <c r="N751" s="30"/>
      <c r="V751" s="30"/>
      <c r="AC751" s="31"/>
      <c r="AN751" s="32"/>
      <c r="AO751" s="57"/>
    </row>
    <row r="752" spans="6:41">
      <c r="F752" s="31"/>
      <c r="N752" s="30"/>
      <c r="V752" s="30"/>
      <c r="AC752" s="31"/>
      <c r="AN752" s="32"/>
      <c r="AO752" s="57"/>
    </row>
    <row r="753" spans="6:41">
      <c r="F753" s="31"/>
      <c r="N753" s="30"/>
      <c r="V753" s="30"/>
      <c r="AC753" s="31"/>
      <c r="AN753" s="32"/>
      <c r="AO753" s="57"/>
    </row>
    <row r="754" spans="6:41">
      <c r="F754" s="31"/>
      <c r="N754" s="30"/>
      <c r="V754" s="30"/>
      <c r="AC754" s="31"/>
      <c r="AN754" s="32"/>
      <c r="AO754" s="57"/>
    </row>
    <row r="755" spans="6:41">
      <c r="F755" s="31"/>
      <c r="N755" s="30"/>
      <c r="V755" s="30"/>
      <c r="AC755" s="31"/>
      <c r="AN755" s="32"/>
      <c r="AO755" s="57"/>
    </row>
    <row r="756" spans="6:41">
      <c r="F756" s="31"/>
      <c r="N756" s="30"/>
      <c r="V756" s="30"/>
      <c r="AC756" s="31"/>
      <c r="AN756" s="32"/>
      <c r="AO756" s="57"/>
    </row>
    <row r="757" spans="6:41">
      <c r="F757" s="31"/>
      <c r="N757" s="30"/>
      <c r="V757" s="30"/>
      <c r="AC757" s="31"/>
      <c r="AN757" s="32"/>
      <c r="AO757" s="57"/>
    </row>
    <row r="758" spans="6:41">
      <c r="F758" s="31"/>
      <c r="N758" s="30"/>
      <c r="V758" s="30"/>
      <c r="AC758" s="31"/>
      <c r="AN758" s="32"/>
      <c r="AO758" s="57"/>
    </row>
    <row r="759" spans="6:41">
      <c r="F759" s="31"/>
      <c r="N759" s="30"/>
      <c r="V759" s="30"/>
      <c r="AC759" s="31"/>
      <c r="AN759" s="32"/>
      <c r="AO759" s="57"/>
    </row>
    <row r="760" spans="6:41">
      <c r="F760" s="31"/>
      <c r="N760" s="30"/>
      <c r="V760" s="30"/>
      <c r="AC760" s="31"/>
      <c r="AN760" s="32"/>
      <c r="AO760" s="57"/>
    </row>
    <row r="761" spans="6:41">
      <c r="F761" s="31"/>
      <c r="N761" s="30"/>
      <c r="V761" s="30"/>
      <c r="AC761" s="31"/>
      <c r="AN761" s="32"/>
      <c r="AO761" s="57"/>
    </row>
    <row r="762" spans="6:41">
      <c r="F762" s="31"/>
      <c r="N762" s="30"/>
      <c r="V762" s="30"/>
      <c r="AC762" s="31"/>
      <c r="AN762" s="32"/>
      <c r="AO762" s="57"/>
    </row>
    <row r="763" spans="6:41">
      <c r="F763" s="31"/>
      <c r="N763" s="30"/>
      <c r="V763" s="30"/>
      <c r="AC763" s="31"/>
      <c r="AN763" s="32"/>
      <c r="AO763" s="57"/>
    </row>
    <row r="764" spans="6:41">
      <c r="F764" s="31"/>
      <c r="N764" s="30"/>
      <c r="V764" s="30"/>
      <c r="AC764" s="31"/>
      <c r="AN764" s="32"/>
      <c r="AO764" s="57"/>
    </row>
    <row r="765" spans="6:41">
      <c r="F765" s="31"/>
      <c r="N765" s="30"/>
      <c r="V765" s="30"/>
      <c r="AC765" s="31"/>
      <c r="AN765" s="32"/>
      <c r="AO765" s="57"/>
    </row>
    <row r="766" spans="6:41">
      <c r="F766" s="31"/>
      <c r="N766" s="30"/>
      <c r="V766" s="30"/>
      <c r="AC766" s="31"/>
      <c r="AN766" s="32"/>
      <c r="AO766" s="57"/>
    </row>
    <row r="767" spans="6:41">
      <c r="F767" s="31"/>
      <c r="N767" s="30"/>
      <c r="V767" s="30"/>
      <c r="AC767" s="31"/>
      <c r="AN767" s="32"/>
      <c r="AO767" s="57"/>
    </row>
    <row r="768" spans="6:41">
      <c r="F768" s="31"/>
      <c r="N768" s="30"/>
      <c r="V768" s="30"/>
      <c r="AC768" s="31"/>
      <c r="AN768" s="32"/>
      <c r="AO768" s="57"/>
    </row>
    <row r="769" spans="6:41">
      <c r="F769" s="31"/>
      <c r="N769" s="30"/>
      <c r="V769" s="30"/>
      <c r="AC769" s="31"/>
      <c r="AN769" s="32"/>
      <c r="AO769" s="57"/>
    </row>
    <row r="770" spans="6:41">
      <c r="F770" s="31"/>
      <c r="N770" s="30"/>
      <c r="V770" s="30"/>
      <c r="AC770" s="31"/>
      <c r="AN770" s="32"/>
      <c r="AO770" s="57"/>
    </row>
    <row r="771" spans="6:41">
      <c r="F771" s="31"/>
      <c r="N771" s="30"/>
      <c r="V771" s="30"/>
      <c r="AC771" s="31"/>
      <c r="AN771" s="32"/>
      <c r="AO771" s="57"/>
    </row>
    <row r="772" spans="6:41">
      <c r="F772" s="31"/>
      <c r="N772" s="30"/>
      <c r="V772" s="30"/>
      <c r="AC772" s="31"/>
      <c r="AN772" s="32"/>
      <c r="AO772" s="57"/>
    </row>
    <row r="773" spans="6:41">
      <c r="F773" s="31"/>
      <c r="N773" s="30"/>
      <c r="V773" s="30"/>
      <c r="AC773" s="31"/>
      <c r="AN773" s="32"/>
      <c r="AO773" s="57"/>
    </row>
    <row r="774" spans="6:41">
      <c r="F774" s="31"/>
      <c r="N774" s="30"/>
      <c r="V774" s="30"/>
      <c r="AC774" s="31"/>
      <c r="AN774" s="32"/>
      <c r="AO774" s="57"/>
    </row>
    <row r="775" spans="6:41">
      <c r="F775" s="31"/>
      <c r="N775" s="30"/>
      <c r="V775" s="30"/>
      <c r="AC775" s="31"/>
      <c r="AN775" s="32"/>
      <c r="AO775" s="57"/>
    </row>
    <row r="776" spans="6:41">
      <c r="F776" s="31"/>
      <c r="N776" s="30"/>
      <c r="V776" s="30"/>
      <c r="AC776" s="31"/>
      <c r="AN776" s="32"/>
      <c r="AO776" s="57"/>
    </row>
    <row r="777" spans="6:41">
      <c r="F777" s="31"/>
      <c r="N777" s="30"/>
      <c r="V777" s="30"/>
      <c r="AC777" s="31"/>
      <c r="AN777" s="32"/>
      <c r="AO777" s="57"/>
    </row>
    <row r="778" spans="6:41">
      <c r="F778" s="31"/>
      <c r="N778" s="30"/>
      <c r="V778" s="30"/>
      <c r="AC778" s="31"/>
      <c r="AN778" s="32"/>
      <c r="AO778" s="57"/>
    </row>
    <row r="779" spans="6:41">
      <c r="F779" s="31"/>
      <c r="N779" s="30"/>
      <c r="V779" s="30"/>
      <c r="AC779" s="31"/>
      <c r="AN779" s="32"/>
      <c r="AO779" s="57"/>
    </row>
    <row r="780" spans="6:41">
      <c r="F780" s="31"/>
      <c r="N780" s="30"/>
      <c r="V780" s="30"/>
      <c r="AC780" s="31"/>
      <c r="AN780" s="32"/>
      <c r="AO780" s="57"/>
    </row>
    <row r="781" spans="6:41">
      <c r="F781" s="31"/>
      <c r="N781" s="30"/>
      <c r="V781" s="30"/>
      <c r="AC781" s="31"/>
      <c r="AN781" s="32"/>
      <c r="AO781" s="57"/>
    </row>
    <row r="782" spans="6:41">
      <c r="F782" s="31"/>
      <c r="N782" s="30"/>
      <c r="V782" s="30"/>
      <c r="AC782" s="31"/>
      <c r="AN782" s="32"/>
      <c r="AO782" s="57"/>
    </row>
    <row r="783" spans="6:41">
      <c r="F783" s="31"/>
      <c r="N783" s="30"/>
      <c r="V783" s="30"/>
      <c r="AC783" s="31"/>
      <c r="AN783" s="32"/>
      <c r="AO783" s="57"/>
    </row>
    <row r="784" spans="6:41">
      <c r="F784" s="31"/>
      <c r="N784" s="30"/>
      <c r="V784" s="30"/>
      <c r="AC784" s="31"/>
      <c r="AN784" s="32"/>
      <c r="AO784" s="57"/>
    </row>
    <row r="785" spans="6:41">
      <c r="F785" s="31"/>
      <c r="N785" s="30"/>
      <c r="V785" s="30"/>
      <c r="AC785" s="31"/>
      <c r="AN785" s="32"/>
      <c r="AO785" s="57"/>
    </row>
    <row r="786" spans="6:41">
      <c r="F786" s="31"/>
      <c r="N786" s="30"/>
      <c r="V786" s="30"/>
      <c r="AC786" s="31"/>
      <c r="AN786" s="32"/>
      <c r="AO786" s="57"/>
    </row>
    <row r="787" spans="6:41">
      <c r="F787" s="31"/>
      <c r="N787" s="30"/>
      <c r="V787" s="30"/>
      <c r="AC787" s="31"/>
      <c r="AN787" s="32"/>
      <c r="AO787" s="57"/>
    </row>
    <row r="788" spans="6:41">
      <c r="F788" s="31"/>
      <c r="N788" s="30"/>
      <c r="V788" s="30"/>
      <c r="AC788" s="31"/>
      <c r="AN788" s="32"/>
      <c r="AO788" s="57"/>
    </row>
    <row r="789" spans="6:41">
      <c r="F789" s="31"/>
      <c r="N789" s="30"/>
      <c r="V789" s="30"/>
      <c r="AC789" s="31"/>
      <c r="AN789" s="32"/>
      <c r="AO789" s="57"/>
    </row>
    <row r="790" spans="6:41">
      <c r="F790" s="31"/>
      <c r="N790" s="30"/>
      <c r="V790" s="30"/>
      <c r="AC790" s="31"/>
      <c r="AN790" s="32"/>
      <c r="AO790" s="57"/>
    </row>
    <row r="791" spans="6:41">
      <c r="F791" s="31"/>
      <c r="N791" s="30"/>
      <c r="V791" s="30"/>
      <c r="AC791" s="31"/>
      <c r="AN791" s="32"/>
      <c r="AO791" s="57"/>
    </row>
    <row r="792" spans="6:41">
      <c r="F792" s="31"/>
      <c r="N792" s="30"/>
      <c r="V792" s="30"/>
      <c r="AC792" s="31"/>
      <c r="AN792" s="32"/>
      <c r="AO792" s="57"/>
    </row>
    <row r="793" spans="6:41">
      <c r="F793" s="31"/>
      <c r="N793" s="30"/>
      <c r="V793" s="30"/>
      <c r="AC793" s="31"/>
      <c r="AN793" s="32"/>
      <c r="AO793" s="57"/>
    </row>
    <row r="794" spans="6:41">
      <c r="F794" s="31"/>
      <c r="N794" s="30"/>
      <c r="V794" s="30"/>
      <c r="AC794" s="31"/>
      <c r="AN794" s="32"/>
      <c r="AO794" s="57"/>
    </row>
    <row r="795" spans="6:41">
      <c r="F795" s="31"/>
      <c r="N795" s="30"/>
      <c r="V795" s="30"/>
      <c r="AC795" s="31"/>
      <c r="AN795" s="32"/>
      <c r="AO795" s="57"/>
    </row>
    <row r="796" spans="6:41">
      <c r="F796" s="31"/>
      <c r="N796" s="30"/>
      <c r="V796" s="30"/>
      <c r="AC796" s="31"/>
      <c r="AN796" s="32"/>
      <c r="AO796" s="57"/>
    </row>
    <row r="797" spans="6:41">
      <c r="F797" s="31"/>
      <c r="N797" s="30"/>
      <c r="V797" s="30"/>
      <c r="AC797" s="31"/>
      <c r="AN797" s="32"/>
      <c r="AO797" s="57"/>
    </row>
    <row r="798" spans="6:41">
      <c r="F798" s="31"/>
      <c r="N798" s="30"/>
      <c r="V798" s="30"/>
      <c r="AC798" s="31"/>
      <c r="AN798" s="32"/>
      <c r="AO798" s="57"/>
    </row>
    <row r="799" spans="6:41">
      <c r="F799" s="31"/>
      <c r="N799" s="30"/>
      <c r="V799" s="30"/>
      <c r="AC799" s="31"/>
      <c r="AN799" s="32"/>
      <c r="AO799" s="57"/>
    </row>
    <row r="800" spans="6:41">
      <c r="F800" s="31"/>
      <c r="N800" s="30"/>
      <c r="V800" s="30"/>
      <c r="AC800" s="31"/>
      <c r="AN800" s="32"/>
      <c r="AO800" s="57"/>
    </row>
    <row r="801" spans="6:41">
      <c r="F801" s="31"/>
      <c r="N801" s="30"/>
      <c r="V801" s="30"/>
      <c r="AC801" s="31"/>
      <c r="AN801" s="32"/>
      <c r="AO801" s="57"/>
    </row>
    <row r="802" spans="6:41">
      <c r="F802" s="31"/>
      <c r="N802" s="30"/>
      <c r="V802" s="30"/>
      <c r="AC802" s="31"/>
      <c r="AN802" s="32"/>
      <c r="AO802" s="57"/>
    </row>
    <row r="803" spans="6:41">
      <c r="F803" s="31"/>
      <c r="N803" s="30"/>
      <c r="V803" s="30"/>
      <c r="AC803" s="31"/>
      <c r="AN803" s="32"/>
      <c r="AO803" s="57"/>
    </row>
    <row r="804" spans="6:41">
      <c r="F804" s="31"/>
      <c r="N804" s="30"/>
      <c r="V804" s="30"/>
      <c r="AC804" s="31"/>
      <c r="AN804" s="32"/>
      <c r="AO804" s="57"/>
    </row>
    <row r="805" spans="6:41">
      <c r="F805" s="31"/>
      <c r="N805" s="30"/>
      <c r="V805" s="30"/>
      <c r="AC805" s="31"/>
      <c r="AN805" s="32"/>
      <c r="AO805" s="57"/>
    </row>
    <row r="806" spans="6:41">
      <c r="F806" s="31"/>
      <c r="N806" s="30"/>
      <c r="V806" s="30"/>
      <c r="AC806" s="31"/>
      <c r="AN806" s="32"/>
      <c r="AO806" s="57"/>
    </row>
    <row r="807" spans="6:41">
      <c r="F807" s="31"/>
      <c r="N807" s="30"/>
      <c r="V807" s="30"/>
      <c r="AC807" s="31"/>
      <c r="AN807" s="32"/>
      <c r="AO807" s="57"/>
    </row>
    <row r="808" spans="6:41">
      <c r="F808" s="31"/>
      <c r="N808" s="30"/>
      <c r="V808" s="30"/>
      <c r="AC808" s="31"/>
      <c r="AN808" s="32"/>
      <c r="AO808" s="57"/>
    </row>
    <row r="809" spans="6:41">
      <c r="F809" s="31"/>
      <c r="N809" s="30"/>
      <c r="V809" s="30"/>
      <c r="AC809" s="31"/>
      <c r="AN809" s="32"/>
      <c r="AO809" s="57"/>
    </row>
    <row r="810" spans="6:41">
      <c r="F810" s="31"/>
      <c r="N810" s="30"/>
      <c r="V810" s="30"/>
      <c r="AC810" s="31"/>
      <c r="AN810" s="32"/>
      <c r="AO810" s="57"/>
    </row>
    <row r="811" spans="6:41">
      <c r="F811" s="31"/>
      <c r="N811" s="30"/>
      <c r="V811" s="30"/>
      <c r="AC811" s="31"/>
      <c r="AN811" s="32"/>
      <c r="AO811" s="57"/>
    </row>
    <row r="812" spans="6:41">
      <c r="F812" s="31"/>
      <c r="N812" s="30"/>
      <c r="V812" s="30"/>
      <c r="AC812" s="31"/>
      <c r="AN812" s="32"/>
      <c r="AO812" s="57"/>
    </row>
    <row r="813" spans="6:41">
      <c r="F813" s="31"/>
      <c r="N813" s="30"/>
      <c r="V813" s="30"/>
      <c r="AC813" s="31"/>
      <c r="AN813" s="32"/>
      <c r="AO813" s="57"/>
    </row>
    <row r="814" spans="6:41">
      <c r="F814" s="31"/>
      <c r="N814" s="30"/>
      <c r="V814" s="30"/>
      <c r="AC814" s="31"/>
      <c r="AN814" s="32"/>
      <c r="AO814" s="57"/>
    </row>
    <row r="815" spans="6:41">
      <c r="F815" s="31"/>
      <c r="N815" s="30"/>
      <c r="V815" s="30"/>
      <c r="AC815" s="31"/>
      <c r="AN815" s="32"/>
      <c r="AO815" s="57"/>
    </row>
    <row r="816" spans="6:41">
      <c r="F816" s="31"/>
      <c r="N816" s="30"/>
      <c r="V816" s="30"/>
      <c r="AC816" s="31"/>
      <c r="AN816" s="32"/>
      <c r="AO816" s="57"/>
    </row>
    <row r="817" spans="6:41">
      <c r="F817" s="31"/>
      <c r="N817" s="30"/>
      <c r="V817" s="30"/>
      <c r="AC817" s="31"/>
      <c r="AN817" s="32"/>
      <c r="AO817" s="57"/>
    </row>
    <row r="818" spans="6:41">
      <c r="F818" s="31"/>
      <c r="N818" s="30"/>
      <c r="V818" s="30"/>
      <c r="AC818" s="31"/>
      <c r="AN818" s="32"/>
      <c r="AO818" s="57"/>
    </row>
    <row r="819" spans="6:41">
      <c r="F819" s="31"/>
      <c r="N819" s="30"/>
      <c r="V819" s="30"/>
      <c r="AC819" s="31"/>
      <c r="AN819" s="32"/>
      <c r="AO819" s="57"/>
    </row>
    <row r="820" spans="6:41">
      <c r="F820" s="31"/>
      <c r="N820" s="30"/>
      <c r="V820" s="30"/>
      <c r="AC820" s="31"/>
      <c r="AN820" s="32"/>
      <c r="AO820" s="57"/>
    </row>
    <row r="821" spans="6:41">
      <c r="F821" s="31"/>
      <c r="N821" s="30"/>
      <c r="V821" s="30"/>
      <c r="AC821" s="31"/>
      <c r="AN821" s="32"/>
      <c r="AO821" s="57"/>
    </row>
    <row r="822" spans="6:41">
      <c r="F822" s="31"/>
      <c r="N822" s="30"/>
      <c r="V822" s="30"/>
      <c r="AC822" s="31"/>
      <c r="AN822" s="32"/>
      <c r="AO822" s="57"/>
    </row>
    <row r="823" spans="6:41">
      <c r="F823" s="31"/>
      <c r="N823" s="30"/>
      <c r="V823" s="30"/>
      <c r="AC823" s="31"/>
      <c r="AN823" s="32"/>
      <c r="AO823" s="57"/>
    </row>
    <row r="824" spans="6:41">
      <c r="F824" s="31"/>
      <c r="N824" s="30"/>
      <c r="V824" s="30"/>
      <c r="AC824" s="31"/>
      <c r="AN824" s="32"/>
      <c r="AO824" s="57"/>
    </row>
    <row r="825" spans="6:41">
      <c r="F825" s="31"/>
      <c r="N825" s="30"/>
      <c r="V825" s="30"/>
      <c r="AC825" s="31"/>
      <c r="AN825" s="32"/>
      <c r="AO825" s="57"/>
    </row>
    <row r="826" spans="6:41">
      <c r="F826" s="31"/>
      <c r="N826" s="30"/>
      <c r="V826" s="30"/>
      <c r="AC826" s="31"/>
      <c r="AN826" s="32"/>
      <c r="AO826" s="57"/>
    </row>
    <row r="827" spans="6:41">
      <c r="F827" s="31"/>
      <c r="N827" s="30"/>
      <c r="V827" s="30"/>
      <c r="AC827" s="31"/>
      <c r="AN827" s="32"/>
      <c r="AO827" s="57"/>
    </row>
    <row r="828" spans="6:41">
      <c r="F828" s="31"/>
      <c r="N828" s="30"/>
      <c r="V828" s="30"/>
      <c r="AC828" s="31"/>
      <c r="AN828" s="32"/>
      <c r="AO828" s="57"/>
    </row>
    <row r="829" spans="6:41">
      <c r="F829" s="31"/>
      <c r="N829" s="30"/>
      <c r="V829" s="30"/>
      <c r="AC829" s="31"/>
      <c r="AN829" s="32"/>
      <c r="AO829" s="57"/>
    </row>
    <row r="830" spans="6:41">
      <c r="F830" s="31"/>
      <c r="N830" s="30"/>
      <c r="V830" s="30"/>
      <c r="AC830" s="31"/>
      <c r="AN830" s="32"/>
      <c r="AO830" s="57"/>
    </row>
    <row r="831" spans="6:41">
      <c r="F831" s="31"/>
      <c r="N831" s="30"/>
      <c r="V831" s="30"/>
      <c r="AC831" s="31"/>
      <c r="AN831" s="32"/>
      <c r="AO831" s="57"/>
    </row>
    <row r="832" spans="6:41">
      <c r="F832" s="31"/>
      <c r="N832" s="30"/>
      <c r="V832" s="30"/>
      <c r="AC832" s="31"/>
      <c r="AN832" s="32"/>
      <c r="AO832" s="57"/>
    </row>
    <row r="833" spans="6:41">
      <c r="F833" s="31"/>
      <c r="N833" s="30"/>
      <c r="V833" s="30"/>
      <c r="AC833" s="31"/>
      <c r="AN833" s="32"/>
      <c r="AO833" s="57"/>
    </row>
    <row r="834" spans="6:41">
      <c r="F834" s="31"/>
      <c r="N834" s="30"/>
      <c r="V834" s="30"/>
      <c r="AC834" s="31"/>
      <c r="AN834" s="32"/>
      <c r="AO834" s="57"/>
    </row>
    <row r="835" spans="6:41">
      <c r="F835" s="31"/>
      <c r="N835" s="30"/>
      <c r="V835" s="30"/>
      <c r="AC835" s="31"/>
      <c r="AN835" s="32"/>
      <c r="AO835" s="57"/>
    </row>
    <row r="836" spans="6:41">
      <c r="F836" s="31"/>
      <c r="N836" s="30"/>
      <c r="V836" s="30"/>
      <c r="AC836" s="31"/>
      <c r="AN836" s="32"/>
      <c r="AO836" s="57"/>
    </row>
    <row r="837" spans="6:41">
      <c r="F837" s="31"/>
      <c r="N837" s="30"/>
      <c r="V837" s="30"/>
      <c r="AC837" s="31"/>
      <c r="AN837" s="32"/>
      <c r="AO837" s="57"/>
    </row>
    <row r="838" spans="6:41">
      <c r="F838" s="31"/>
      <c r="N838" s="30"/>
      <c r="V838" s="30"/>
      <c r="AC838" s="31"/>
      <c r="AN838" s="32"/>
      <c r="AO838" s="57"/>
    </row>
    <row r="839" spans="6:41">
      <c r="F839" s="31"/>
      <c r="N839" s="30"/>
      <c r="V839" s="30"/>
      <c r="AC839" s="31"/>
      <c r="AN839" s="32"/>
      <c r="AO839" s="57"/>
    </row>
    <row r="840" spans="6:41">
      <c r="F840" s="31"/>
      <c r="N840" s="30"/>
      <c r="V840" s="30"/>
      <c r="AC840" s="31"/>
      <c r="AN840" s="32"/>
      <c r="AO840" s="57"/>
    </row>
    <row r="841" spans="6:41">
      <c r="F841" s="31"/>
      <c r="N841" s="30"/>
      <c r="V841" s="30"/>
      <c r="AC841" s="31"/>
      <c r="AN841" s="32"/>
      <c r="AO841" s="57"/>
    </row>
    <row r="842" spans="6:41">
      <c r="F842" s="31"/>
      <c r="N842" s="30"/>
      <c r="V842" s="30"/>
      <c r="AC842" s="31"/>
      <c r="AN842" s="32"/>
      <c r="AO842" s="57"/>
    </row>
    <row r="843" spans="6:41">
      <c r="F843" s="31"/>
      <c r="N843" s="30"/>
      <c r="V843" s="30"/>
      <c r="AC843" s="31"/>
      <c r="AN843" s="32"/>
      <c r="AO843" s="57"/>
    </row>
    <row r="844" spans="6:41">
      <c r="F844" s="31"/>
      <c r="N844" s="30"/>
      <c r="V844" s="30"/>
      <c r="AC844" s="31"/>
      <c r="AN844" s="32"/>
      <c r="AO844" s="57"/>
    </row>
    <row r="845" spans="6:41">
      <c r="F845" s="31"/>
      <c r="N845" s="30"/>
      <c r="V845" s="30"/>
      <c r="AC845" s="31"/>
      <c r="AN845" s="32"/>
      <c r="AO845" s="57"/>
    </row>
    <row r="846" spans="6:41">
      <c r="F846" s="31"/>
      <c r="N846" s="30"/>
      <c r="V846" s="30"/>
      <c r="AC846" s="31"/>
      <c r="AN846" s="32"/>
      <c r="AO846" s="57"/>
    </row>
    <row r="847" spans="6:41">
      <c r="F847" s="31"/>
      <c r="N847" s="30"/>
      <c r="V847" s="30"/>
      <c r="AC847" s="31"/>
      <c r="AN847" s="32"/>
      <c r="AO847" s="57"/>
    </row>
    <row r="848" spans="6:41">
      <c r="F848" s="31"/>
      <c r="N848" s="30"/>
      <c r="V848" s="30"/>
      <c r="AC848" s="31"/>
      <c r="AN848" s="32"/>
      <c r="AO848" s="57"/>
    </row>
    <row r="849" spans="6:41">
      <c r="F849" s="31"/>
      <c r="N849" s="30"/>
      <c r="V849" s="30"/>
      <c r="AC849" s="31"/>
      <c r="AN849" s="32"/>
      <c r="AO849" s="57"/>
    </row>
    <row r="850" spans="6:41">
      <c r="F850" s="31"/>
      <c r="N850" s="30"/>
      <c r="V850" s="30"/>
      <c r="AC850" s="31"/>
      <c r="AN850" s="32"/>
      <c r="AO850" s="57"/>
    </row>
    <row r="851" spans="6:41">
      <c r="F851" s="31"/>
      <c r="N851" s="30"/>
      <c r="V851" s="30"/>
      <c r="AC851" s="31"/>
      <c r="AN851" s="32"/>
      <c r="AO851" s="57"/>
    </row>
    <row r="852" spans="6:41">
      <c r="F852" s="31"/>
      <c r="N852" s="30"/>
      <c r="V852" s="30"/>
      <c r="AC852" s="31"/>
      <c r="AN852" s="32"/>
      <c r="AO852" s="57"/>
    </row>
    <row r="853" spans="6:41">
      <c r="F853" s="31"/>
      <c r="N853" s="30"/>
      <c r="V853" s="30"/>
      <c r="AC853" s="31"/>
      <c r="AN853" s="32"/>
      <c r="AO853" s="57"/>
    </row>
    <row r="854" spans="6:41">
      <c r="F854" s="31"/>
      <c r="N854" s="30"/>
      <c r="V854" s="30"/>
      <c r="AC854" s="31"/>
      <c r="AN854" s="32"/>
      <c r="AO854" s="57"/>
    </row>
    <row r="855" spans="6:41">
      <c r="F855" s="31"/>
      <c r="N855" s="30"/>
      <c r="V855" s="30"/>
      <c r="AC855" s="31"/>
      <c r="AN855" s="32"/>
      <c r="AO855" s="57"/>
    </row>
    <row r="856" spans="6:41">
      <c r="F856" s="31"/>
      <c r="N856" s="30"/>
      <c r="V856" s="30"/>
      <c r="AC856" s="31"/>
      <c r="AN856" s="32"/>
      <c r="AO856" s="57"/>
    </row>
    <row r="857" spans="6:41">
      <c r="F857" s="31"/>
      <c r="N857" s="30"/>
      <c r="V857" s="30"/>
      <c r="AC857" s="31"/>
      <c r="AN857" s="32"/>
      <c r="AO857" s="57"/>
    </row>
    <row r="858" spans="6:41">
      <c r="F858" s="31"/>
      <c r="N858" s="30"/>
      <c r="V858" s="30"/>
      <c r="AC858" s="31"/>
      <c r="AN858" s="32"/>
      <c r="AO858" s="57"/>
    </row>
    <row r="859" spans="6:41">
      <c r="F859" s="31"/>
      <c r="N859" s="30"/>
      <c r="V859" s="30"/>
      <c r="AC859" s="31"/>
      <c r="AN859" s="32"/>
      <c r="AO859" s="57"/>
    </row>
    <row r="860" spans="6:41">
      <c r="F860" s="31"/>
      <c r="N860" s="30"/>
      <c r="V860" s="30"/>
      <c r="AC860" s="31"/>
      <c r="AN860" s="32"/>
      <c r="AO860" s="57"/>
    </row>
    <row r="861" spans="6:41">
      <c r="F861" s="31"/>
      <c r="N861" s="30"/>
      <c r="V861" s="30"/>
      <c r="AC861" s="31"/>
      <c r="AN861" s="32"/>
      <c r="AO861" s="57"/>
    </row>
    <row r="862" spans="6:41">
      <c r="F862" s="31"/>
      <c r="N862" s="30"/>
      <c r="V862" s="30"/>
      <c r="AC862" s="31"/>
      <c r="AN862" s="32"/>
      <c r="AO862" s="57"/>
    </row>
    <row r="863" spans="6:41">
      <c r="F863" s="31"/>
      <c r="N863" s="30"/>
      <c r="V863" s="30"/>
      <c r="AC863" s="31"/>
      <c r="AN863" s="32"/>
      <c r="AO863" s="57"/>
    </row>
    <row r="864" spans="6:41">
      <c r="F864" s="31"/>
      <c r="N864" s="30"/>
      <c r="V864" s="30"/>
      <c r="AC864" s="31"/>
      <c r="AN864" s="32"/>
      <c r="AO864" s="57"/>
    </row>
    <row r="865" spans="6:41">
      <c r="F865" s="31"/>
      <c r="N865" s="30"/>
      <c r="V865" s="30"/>
      <c r="AC865" s="31"/>
      <c r="AN865" s="32"/>
      <c r="AO865" s="57"/>
    </row>
    <row r="866" spans="6:41">
      <c r="F866" s="31"/>
      <c r="N866" s="30"/>
      <c r="V866" s="30"/>
      <c r="AC866" s="31"/>
      <c r="AN866" s="32"/>
      <c r="AO866" s="57"/>
    </row>
    <row r="867" spans="6:41">
      <c r="F867" s="31"/>
      <c r="N867" s="30"/>
      <c r="V867" s="30"/>
      <c r="AC867" s="31"/>
      <c r="AN867" s="32"/>
      <c r="AO867" s="57"/>
    </row>
    <row r="868" spans="6:41">
      <c r="F868" s="31"/>
      <c r="N868" s="30"/>
      <c r="V868" s="30"/>
      <c r="AC868" s="31"/>
      <c r="AN868" s="32"/>
      <c r="AO868" s="57"/>
    </row>
    <row r="869" spans="6:41">
      <c r="F869" s="31"/>
      <c r="N869" s="30"/>
      <c r="V869" s="30"/>
      <c r="AC869" s="31"/>
      <c r="AN869" s="32"/>
      <c r="AO869" s="57"/>
    </row>
    <row r="870" spans="6:41">
      <c r="F870" s="31"/>
      <c r="N870" s="30"/>
      <c r="V870" s="30"/>
      <c r="AC870" s="31"/>
      <c r="AN870" s="32"/>
      <c r="AO870" s="57"/>
    </row>
    <row r="871" spans="6:41">
      <c r="F871" s="31"/>
      <c r="N871" s="30"/>
      <c r="V871" s="30"/>
      <c r="AC871" s="31"/>
      <c r="AN871" s="32"/>
      <c r="AO871" s="57"/>
    </row>
    <row r="872" spans="6:41">
      <c r="F872" s="31"/>
      <c r="N872" s="30"/>
      <c r="V872" s="30"/>
      <c r="AC872" s="31"/>
      <c r="AN872" s="32"/>
      <c r="AO872" s="57"/>
    </row>
    <row r="873" spans="6:41">
      <c r="F873" s="31"/>
      <c r="N873" s="30"/>
      <c r="V873" s="30"/>
      <c r="AC873" s="31"/>
      <c r="AN873" s="32"/>
      <c r="AO873" s="57"/>
    </row>
    <row r="874" spans="6:41">
      <c r="F874" s="31"/>
      <c r="N874" s="30"/>
      <c r="V874" s="30"/>
      <c r="AC874" s="31"/>
      <c r="AN874" s="32"/>
      <c r="AO874" s="57"/>
    </row>
    <row r="875" spans="6:41">
      <c r="F875" s="31"/>
      <c r="N875" s="30"/>
      <c r="V875" s="30"/>
      <c r="AC875" s="31"/>
      <c r="AN875" s="32"/>
      <c r="AO875" s="57"/>
    </row>
    <row r="876" spans="6:41">
      <c r="F876" s="31"/>
      <c r="N876" s="30"/>
      <c r="V876" s="30"/>
      <c r="AC876" s="31"/>
      <c r="AN876" s="32"/>
      <c r="AO876" s="57"/>
    </row>
    <row r="877" spans="6:41">
      <c r="F877" s="31"/>
      <c r="N877" s="30"/>
      <c r="V877" s="30"/>
      <c r="AC877" s="31"/>
      <c r="AN877" s="32"/>
      <c r="AO877" s="57"/>
    </row>
    <row r="878" spans="6:41">
      <c r="F878" s="31"/>
      <c r="N878" s="30"/>
      <c r="V878" s="30"/>
      <c r="AC878" s="31"/>
      <c r="AN878" s="32"/>
      <c r="AO878" s="57"/>
    </row>
    <row r="879" spans="6:41">
      <c r="F879" s="31"/>
      <c r="N879" s="30"/>
      <c r="V879" s="30"/>
      <c r="AC879" s="31"/>
      <c r="AN879" s="32"/>
      <c r="AO879" s="57"/>
    </row>
    <row r="880" spans="6:41">
      <c r="F880" s="31"/>
      <c r="N880" s="30"/>
      <c r="V880" s="30"/>
      <c r="AC880" s="31"/>
      <c r="AN880" s="32"/>
      <c r="AO880" s="57"/>
    </row>
    <row r="881" spans="6:41">
      <c r="F881" s="31"/>
      <c r="N881" s="30"/>
      <c r="V881" s="30"/>
      <c r="AC881" s="31"/>
      <c r="AN881" s="32"/>
      <c r="AO881" s="57"/>
    </row>
    <row r="882" spans="6:41">
      <c r="F882" s="31"/>
      <c r="N882" s="30"/>
      <c r="V882" s="30"/>
      <c r="AC882" s="31"/>
      <c r="AN882" s="32"/>
      <c r="AO882" s="57"/>
    </row>
    <row r="883" spans="6:41">
      <c r="F883" s="31"/>
      <c r="N883" s="30"/>
      <c r="V883" s="30"/>
      <c r="AC883" s="31"/>
      <c r="AN883" s="32"/>
      <c r="AO883" s="57"/>
    </row>
    <row r="884" spans="6:41">
      <c r="F884" s="31"/>
      <c r="N884" s="30"/>
      <c r="V884" s="30"/>
      <c r="AC884" s="31"/>
      <c r="AN884" s="32"/>
      <c r="AO884" s="57"/>
    </row>
    <row r="885" spans="6:41">
      <c r="F885" s="31"/>
      <c r="N885" s="30"/>
      <c r="V885" s="30"/>
      <c r="AC885" s="31"/>
      <c r="AN885" s="32"/>
      <c r="AO885" s="57"/>
    </row>
    <row r="886" spans="6:41">
      <c r="F886" s="31"/>
      <c r="N886" s="30"/>
      <c r="V886" s="30"/>
      <c r="AC886" s="31"/>
      <c r="AN886" s="32"/>
      <c r="AO886" s="57"/>
    </row>
    <row r="887" spans="6:41">
      <c r="F887" s="31"/>
      <c r="N887" s="30"/>
      <c r="V887" s="30"/>
      <c r="AC887" s="31"/>
      <c r="AN887" s="32"/>
      <c r="AO887" s="57"/>
    </row>
    <row r="888" spans="6:41">
      <c r="F888" s="31"/>
      <c r="N888" s="30"/>
      <c r="V888" s="30"/>
      <c r="AC888" s="31"/>
      <c r="AN888" s="32"/>
      <c r="AO888" s="57"/>
    </row>
    <row r="889" spans="6:41">
      <c r="F889" s="31"/>
      <c r="N889" s="30"/>
      <c r="V889" s="30"/>
      <c r="AC889" s="31"/>
      <c r="AN889" s="32"/>
      <c r="AO889" s="57"/>
    </row>
    <row r="890" spans="6:41">
      <c r="F890" s="31"/>
      <c r="N890" s="30"/>
      <c r="V890" s="30"/>
      <c r="AC890" s="31"/>
      <c r="AN890" s="32"/>
      <c r="AO890" s="57"/>
    </row>
    <row r="891" spans="6:41">
      <c r="F891" s="31"/>
      <c r="N891" s="30"/>
      <c r="V891" s="30"/>
      <c r="AC891" s="31"/>
      <c r="AN891" s="32"/>
      <c r="AO891" s="57"/>
    </row>
    <row r="892" spans="6:41">
      <c r="F892" s="31"/>
      <c r="N892" s="30"/>
      <c r="V892" s="30"/>
      <c r="AC892" s="31"/>
      <c r="AN892" s="32"/>
      <c r="AO892" s="57"/>
    </row>
    <row r="893" spans="6:41">
      <c r="F893" s="31"/>
      <c r="N893" s="30"/>
      <c r="V893" s="30"/>
      <c r="AC893" s="31"/>
      <c r="AN893" s="32"/>
      <c r="AO893" s="57"/>
    </row>
    <row r="894" spans="6:41">
      <c r="F894" s="31"/>
      <c r="N894" s="30"/>
      <c r="V894" s="30"/>
      <c r="AC894" s="31"/>
      <c r="AN894" s="32"/>
      <c r="AO894" s="57"/>
    </row>
    <row r="895" spans="6:41">
      <c r="F895" s="31"/>
      <c r="N895" s="30"/>
      <c r="V895" s="30"/>
      <c r="AC895" s="31"/>
      <c r="AN895" s="32"/>
      <c r="AO895" s="57"/>
    </row>
    <row r="896" spans="6:41">
      <c r="F896" s="31"/>
      <c r="N896" s="30"/>
      <c r="V896" s="30"/>
      <c r="AC896" s="31"/>
      <c r="AN896" s="32"/>
      <c r="AO896" s="57"/>
    </row>
    <row r="897" spans="6:41">
      <c r="F897" s="31"/>
      <c r="N897" s="30"/>
      <c r="V897" s="30"/>
      <c r="AC897" s="31"/>
      <c r="AN897" s="32"/>
      <c r="AO897" s="57"/>
    </row>
    <row r="898" spans="6:41">
      <c r="F898" s="31"/>
      <c r="N898" s="30"/>
      <c r="V898" s="30"/>
      <c r="AC898" s="31"/>
      <c r="AN898" s="32"/>
      <c r="AO898" s="57"/>
    </row>
    <row r="899" spans="6:41">
      <c r="F899" s="31"/>
      <c r="N899" s="30"/>
      <c r="V899" s="30"/>
      <c r="AC899" s="31"/>
      <c r="AN899" s="32"/>
      <c r="AO899" s="57"/>
    </row>
    <row r="900" spans="6:41">
      <c r="F900" s="31"/>
      <c r="N900" s="30"/>
      <c r="V900" s="30"/>
      <c r="AC900" s="31"/>
      <c r="AN900" s="32"/>
      <c r="AO900" s="57"/>
    </row>
    <row r="901" spans="6:41">
      <c r="F901" s="31"/>
      <c r="N901" s="30"/>
      <c r="V901" s="30"/>
      <c r="AC901" s="31"/>
      <c r="AN901" s="32"/>
      <c r="AO901" s="57"/>
    </row>
    <row r="902" spans="6:41">
      <c r="F902" s="31"/>
      <c r="N902" s="30"/>
      <c r="V902" s="30"/>
      <c r="AC902" s="31"/>
      <c r="AN902" s="32"/>
      <c r="AO902" s="57"/>
    </row>
    <row r="903" spans="6:41">
      <c r="F903" s="31"/>
      <c r="N903" s="30"/>
      <c r="V903" s="30"/>
      <c r="AC903" s="31"/>
      <c r="AN903" s="32"/>
      <c r="AO903" s="57"/>
    </row>
    <row r="904" spans="6:41">
      <c r="F904" s="31"/>
      <c r="N904" s="30"/>
      <c r="V904" s="30"/>
      <c r="AC904" s="31"/>
      <c r="AN904" s="32"/>
      <c r="AO904" s="57"/>
    </row>
    <row r="905" spans="6:41">
      <c r="F905" s="31"/>
      <c r="N905" s="30"/>
      <c r="V905" s="30"/>
      <c r="AC905" s="31"/>
      <c r="AN905" s="32"/>
      <c r="AO905" s="57"/>
    </row>
    <row r="906" spans="6:41">
      <c r="F906" s="31"/>
      <c r="N906" s="30"/>
      <c r="V906" s="30"/>
      <c r="AC906" s="31"/>
      <c r="AN906" s="32"/>
      <c r="AO906" s="57"/>
    </row>
    <row r="907" spans="6:41">
      <c r="F907" s="31"/>
      <c r="N907" s="30"/>
      <c r="V907" s="30"/>
      <c r="AC907" s="31"/>
      <c r="AN907" s="32"/>
      <c r="AO907" s="57"/>
    </row>
    <row r="908" spans="6:41">
      <c r="F908" s="31"/>
      <c r="N908" s="30"/>
      <c r="V908" s="30"/>
      <c r="AC908" s="31"/>
      <c r="AN908" s="32"/>
      <c r="AO908" s="57"/>
    </row>
    <row r="909" spans="6:41">
      <c r="F909" s="31"/>
      <c r="N909" s="30"/>
      <c r="V909" s="30"/>
      <c r="AC909" s="31"/>
      <c r="AN909" s="32"/>
      <c r="AO909" s="57"/>
    </row>
    <row r="910" spans="6:41">
      <c r="F910" s="31"/>
      <c r="N910" s="30"/>
      <c r="V910" s="30"/>
      <c r="AC910" s="31"/>
      <c r="AN910" s="32"/>
      <c r="AO910" s="57"/>
    </row>
    <row r="911" spans="6:41">
      <c r="F911" s="31"/>
      <c r="N911" s="30"/>
      <c r="V911" s="30"/>
      <c r="AC911" s="31"/>
      <c r="AN911" s="32"/>
      <c r="AO911" s="57"/>
    </row>
    <row r="912" spans="6:41">
      <c r="F912" s="31"/>
      <c r="N912" s="30"/>
      <c r="V912" s="30"/>
      <c r="AC912" s="31"/>
      <c r="AN912" s="32"/>
      <c r="AO912" s="57"/>
    </row>
    <row r="913" spans="6:41">
      <c r="F913" s="31"/>
      <c r="N913" s="30"/>
      <c r="V913" s="30"/>
      <c r="AC913" s="31"/>
      <c r="AN913" s="32"/>
      <c r="AO913" s="57"/>
    </row>
    <row r="914" spans="6:41">
      <c r="F914" s="31"/>
      <c r="N914" s="30"/>
      <c r="V914" s="30"/>
      <c r="AC914" s="31"/>
      <c r="AN914" s="32"/>
      <c r="AO914" s="57"/>
    </row>
    <row r="915" spans="6:41">
      <c r="F915" s="31"/>
      <c r="N915" s="30"/>
      <c r="V915" s="30"/>
      <c r="AC915" s="31"/>
      <c r="AN915" s="32"/>
      <c r="AO915" s="57"/>
    </row>
    <row r="916" spans="6:41">
      <c r="F916" s="31"/>
      <c r="N916" s="30"/>
      <c r="V916" s="30"/>
      <c r="AC916" s="31"/>
      <c r="AN916" s="32"/>
      <c r="AO916" s="57"/>
    </row>
    <row r="917" spans="6:41">
      <c r="F917" s="31"/>
      <c r="N917" s="30"/>
      <c r="V917" s="30"/>
      <c r="AC917" s="31"/>
      <c r="AN917" s="32"/>
      <c r="AO917" s="57"/>
    </row>
    <row r="918" spans="6:41">
      <c r="F918" s="31"/>
      <c r="N918" s="30"/>
      <c r="V918" s="30"/>
      <c r="AC918" s="31"/>
      <c r="AN918" s="32"/>
      <c r="AO918" s="57"/>
    </row>
    <row r="919" spans="6:41">
      <c r="F919" s="31"/>
      <c r="N919" s="30"/>
      <c r="V919" s="30"/>
      <c r="AC919" s="31"/>
      <c r="AN919" s="32"/>
      <c r="AO919" s="57"/>
    </row>
    <row r="920" spans="6:41">
      <c r="F920" s="31"/>
      <c r="N920" s="30"/>
      <c r="V920" s="30"/>
      <c r="AC920" s="31"/>
      <c r="AN920" s="32"/>
      <c r="AO920" s="57"/>
    </row>
    <row r="921" spans="6:41">
      <c r="F921" s="31"/>
      <c r="N921" s="30"/>
      <c r="V921" s="30"/>
      <c r="AC921" s="31"/>
      <c r="AN921" s="32"/>
      <c r="AO921" s="57"/>
    </row>
    <row r="922" spans="6:41">
      <c r="F922" s="31"/>
      <c r="N922" s="30"/>
      <c r="V922" s="30"/>
      <c r="AC922" s="31"/>
      <c r="AN922" s="32"/>
      <c r="AO922" s="57"/>
    </row>
    <row r="923" spans="6:41">
      <c r="F923" s="31"/>
      <c r="N923" s="30"/>
      <c r="V923" s="30"/>
      <c r="AC923" s="31"/>
      <c r="AN923" s="32"/>
      <c r="AO923" s="57"/>
    </row>
    <row r="924" spans="6:41">
      <c r="F924" s="31"/>
      <c r="N924" s="30"/>
      <c r="V924" s="30"/>
      <c r="AC924" s="31"/>
      <c r="AN924" s="32"/>
      <c r="AO924" s="57"/>
    </row>
    <row r="925" spans="6:41">
      <c r="F925" s="31"/>
      <c r="N925" s="30"/>
      <c r="V925" s="30"/>
      <c r="AC925" s="31"/>
      <c r="AN925" s="32"/>
      <c r="AO925" s="57"/>
    </row>
    <row r="926" spans="6:41">
      <c r="F926" s="31"/>
      <c r="N926" s="30"/>
      <c r="V926" s="30"/>
      <c r="AC926" s="31"/>
      <c r="AN926" s="32"/>
      <c r="AO926" s="57"/>
    </row>
    <row r="927" spans="6:41">
      <c r="F927" s="31"/>
      <c r="N927" s="30"/>
      <c r="V927" s="30"/>
      <c r="AC927" s="31"/>
      <c r="AN927" s="32"/>
      <c r="AO927" s="57"/>
    </row>
    <row r="928" spans="6:41">
      <c r="F928" s="31"/>
      <c r="N928" s="30"/>
      <c r="V928" s="30"/>
      <c r="AC928" s="31"/>
      <c r="AN928" s="32"/>
      <c r="AO928" s="57"/>
    </row>
    <row r="929" spans="6:41">
      <c r="F929" s="31"/>
      <c r="N929" s="30"/>
      <c r="V929" s="30"/>
      <c r="AC929" s="31"/>
      <c r="AN929" s="32"/>
      <c r="AO929" s="57"/>
    </row>
    <row r="930" spans="6:41">
      <c r="F930" s="31"/>
      <c r="N930" s="30"/>
      <c r="V930" s="30"/>
      <c r="AC930" s="31"/>
      <c r="AN930" s="32"/>
      <c r="AO930" s="57"/>
    </row>
    <row r="931" spans="6:41">
      <c r="F931" s="31"/>
      <c r="N931" s="30"/>
      <c r="V931" s="30"/>
      <c r="AC931" s="31"/>
      <c r="AN931" s="32"/>
      <c r="AO931" s="57"/>
    </row>
    <row r="932" spans="6:41">
      <c r="F932" s="31"/>
      <c r="N932" s="30"/>
      <c r="V932" s="30"/>
      <c r="AC932" s="31"/>
      <c r="AN932" s="32"/>
      <c r="AO932" s="57"/>
    </row>
    <row r="933" spans="6:41">
      <c r="F933" s="31"/>
      <c r="N933" s="30"/>
      <c r="V933" s="30"/>
      <c r="AC933" s="31"/>
      <c r="AN933" s="32"/>
      <c r="AO933" s="57"/>
    </row>
    <row r="934" spans="6:41">
      <c r="F934" s="31"/>
      <c r="N934" s="30"/>
      <c r="V934" s="30"/>
      <c r="AC934" s="31"/>
      <c r="AN934" s="32"/>
      <c r="AO934" s="57"/>
    </row>
    <row r="935" spans="6:41">
      <c r="F935" s="31"/>
      <c r="N935" s="30"/>
      <c r="V935" s="30"/>
      <c r="AC935" s="31"/>
      <c r="AN935" s="32"/>
      <c r="AO935" s="57"/>
    </row>
    <row r="936" spans="6:41">
      <c r="F936" s="31"/>
      <c r="N936" s="30"/>
      <c r="V936" s="30"/>
      <c r="AC936" s="31"/>
      <c r="AN936" s="32"/>
      <c r="AO936" s="57"/>
    </row>
    <row r="937" spans="6:41">
      <c r="F937" s="31"/>
      <c r="N937" s="30"/>
      <c r="V937" s="30"/>
      <c r="AC937" s="31"/>
      <c r="AN937" s="32"/>
      <c r="AO937" s="57"/>
    </row>
    <row r="938" spans="6:41">
      <c r="F938" s="31"/>
      <c r="N938" s="30"/>
      <c r="V938" s="30"/>
      <c r="AC938" s="31"/>
      <c r="AN938" s="32"/>
      <c r="AO938" s="57"/>
    </row>
    <row r="939" spans="6:41">
      <c r="F939" s="31"/>
      <c r="N939" s="30"/>
      <c r="V939" s="30"/>
      <c r="AC939" s="31"/>
      <c r="AN939" s="32"/>
      <c r="AO939" s="57"/>
    </row>
    <row r="940" spans="6:41">
      <c r="F940" s="31"/>
      <c r="N940" s="30"/>
      <c r="V940" s="30"/>
      <c r="AC940" s="31"/>
      <c r="AN940" s="32"/>
      <c r="AO940" s="57"/>
    </row>
    <row r="941" spans="6:41">
      <c r="F941" s="31"/>
      <c r="N941" s="30"/>
      <c r="V941" s="30"/>
      <c r="AC941" s="31"/>
      <c r="AN941" s="32"/>
      <c r="AO941" s="57"/>
    </row>
    <row r="942" spans="6:41">
      <c r="F942" s="31"/>
      <c r="N942" s="30"/>
      <c r="V942" s="30"/>
      <c r="AC942" s="31"/>
      <c r="AN942" s="32"/>
      <c r="AO942" s="57"/>
    </row>
    <row r="943" spans="6:41">
      <c r="F943" s="31"/>
      <c r="N943" s="30"/>
      <c r="V943" s="30"/>
      <c r="AC943" s="31"/>
      <c r="AN943" s="32"/>
      <c r="AO943" s="57"/>
    </row>
    <row r="944" spans="6:41">
      <c r="F944" s="31"/>
      <c r="N944" s="30"/>
      <c r="V944" s="30"/>
      <c r="AC944" s="31"/>
      <c r="AN944" s="32"/>
      <c r="AO944" s="57"/>
    </row>
    <row r="945" spans="6:41">
      <c r="F945" s="31"/>
      <c r="N945" s="30"/>
      <c r="V945" s="30"/>
      <c r="AC945" s="31"/>
      <c r="AN945" s="32"/>
      <c r="AO945" s="57"/>
    </row>
    <row r="946" spans="6:41">
      <c r="F946" s="31"/>
      <c r="N946" s="30"/>
      <c r="V946" s="30"/>
      <c r="AC946" s="31"/>
      <c r="AN946" s="32"/>
      <c r="AO946" s="57"/>
    </row>
    <row r="947" spans="6:41">
      <c r="F947" s="31"/>
      <c r="N947" s="30"/>
      <c r="V947" s="30"/>
      <c r="AC947" s="31"/>
      <c r="AN947" s="32"/>
      <c r="AO947" s="57"/>
    </row>
    <row r="948" spans="6:41">
      <c r="F948" s="31"/>
      <c r="N948" s="30"/>
      <c r="V948" s="30"/>
      <c r="AC948" s="31"/>
      <c r="AN948" s="32"/>
      <c r="AO948" s="57"/>
    </row>
    <row r="949" spans="6:41">
      <c r="F949" s="31"/>
      <c r="N949" s="30"/>
      <c r="V949" s="30"/>
      <c r="AC949" s="31"/>
      <c r="AN949" s="32"/>
      <c r="AO949" s="57"/>
    </row>
    <row r="950" spans="6:41">
      <c r="F950" s="31"/>
      <c r="N950" s="30"/>
      <c r="V950" s="30"/>
      <c r="AC950" s="31"/>
      <c r="AN950" s="32"/>
      <c r="AO950" s="57"/>
    </row>
    <row r="951" spans="6:41">
      <c r="F951" s="31"/>
      <c r="N951" s="30"/>
      <c r="V951" s="30"/>
      <c r="AC951" s="31"/>
      <c r="AN951" s="32"/>
      <c r="AO951" s="57"/>
    </row>
    <row r="952" spans="6:41">
      <c r="F952" s="31"/>
      <c r="N952" s="30"/>
      <c r="V952" s="30"/>
      <c r="AC952" s="31"/>
      <c r="AN952" s="32"/>
      <c r="AO952" s="57"/>
    </row>
    <row r="953" spans="6:41">
      <c r="F953" s="31"/>
      <c r="N953" s="30"/>
      <c r="V953" s="30"/>
      <c r="AC953" s="31"/>
      <c r="AN953" s="32"/>
      <c r="AO953" s="57"/>
    </row>
    <row r="954" spans="6:41">
      <c r="F954" s="31"/>
      <c r="N954" s="30"/>
      <c r="V954" s="30"/>
      <c r="AC954" s="31"/>
      <c r="AN954" s="32"/>
      <c r="AO954" s="57"/>
    </row>
    <row r="955" spans="6:41">
      <c r="F955" s="31"/>
      <c r="N955" s="30"/>
      <c r="V955" s="30"/>
      <c r="AC955" s="31"/>
      <c r="AN955" s="32"/>
      <c r="AO955" s="57"/>
    </row>
    <row r="956" spans="6:41">
      <c r="F956" s="31"/>
      <c r="N956" s="30"/>
      <c r="V956" s="30"/>
      <c r="AC956" s="31"/>
      <c r="AN956" s="32"/>
      <c r="AO956" s="57"/>
    </row>
    <row r="957" spans="6:41">
      <c r="F957" s="31"/>
      <c r="N957" s="30"/>
      <c r="V957" s="30"/>
      <c r="AC957" s="31"/>
      <c r="AN957" s="32"/>
      <c r="AO957" s="57"/>
    </row>
    <row r="958" spans="6:41">
      <c r="F958" s="31"/>
      <c r="N958" s="30"/>
      <c r="V958" s="30"/>
      <c r="AC958" s="31"/>
      <c r="AN958" s="32"/>
      <c r="AO958" s="57"/>
    </row>
    <row r="959" spans="6:41">
      <c r="F959" s="31"/>
      <c r="N959" s="30"/>
      <c r="V959" s="30"/>
      <c r="AC959" s="31"/>
      <c r="AN959" s="32"/>
      <c r="AO959" s="57"/>
    </row>
    <row r="960" spans="6:41">
      <c r="F960" s="31"/>
      <c r="N960" s="30"/>
      <c r="V960" s="30"/>
      <c r="AC960" s="31"/>
      <c r="AN960" s="32"/>
      <c r="AO960" s="57"/>
    </row>
    <row r="961" spans="6:41">
      <c r="F961" s="31"/>
      <c r="N961" s="30"/>
      <c r="V961" s="30"/>
      <c r="AC961" s="31"/>
      <c r="AN961" s="32"/>
      <c r="AO961" s="57"/>
    </row>
    <row r="962" spans="6:41">
      <c r="F962" s="31"/>
      <c r="N962" s="30"/>
      <c r="V962" s="30"/>
      <c r="AC962" s="31"/>
      <c r="AN962" s="32"/>
      <c r="AO962" s="57"/>
    </row>
    <row r="963" spans="6:41">
      <c r="F963" s="31"/>
      <c r="N963" s="30"/>
      <c r="V963" s="30"/>
      <c r="AC963" s="31"/>
      <c r="AN963" s="32"/>
      <c r="AO963" s="57"/>
    </row>
    <row r="964" spans="6:41">
      <c r="F964" s="31"/>
      <c r="N964" s="30"/>
      <c r="V964" s="30"/>
      <c r="AC964" s="31"/>
      <c r="AN964" s="32"/>
      <c r="AO964" s="57"/>
    </row>
    <row r="965" spans="6:41">
      <c r="F965" s="31"/>
      <c r="N965" s="30"/>
      <c r="V965" s="30"/>
      <c r="AC965" s="31"/>
      <c r="AN965" s="32"/>
      <c r="AO965" s="57"/>
    </row>
    <row r="966" spans="6:41">
      <c r="F966" s="31"/>
      <c r="N966" s="30"/>
      <c r="V966" s="30"/>
      <c r="AC966" s="31"/>
      <c r="AN966" s="32"/>
      <c r="AO966" s="57"/>
    </row>
    <row r="967" spans="6:41">
      <c r="F967" s="31"/>
      <c r="N967" s="30"/>
      <c r="V967" s="30"/>
      <c r="AC967" s="31"/>
      <c r="AN967" s="32"/>
      <c r="AO967" s="57"/>
    </row>
    <row r="968" spans="6:41">
      <c r="F968" s="31"/>
      <c r="N968" s="30"/>
      <c r="V968" s="30"/>
      <c r="AC968" s="31"/>
      <c r="AN968" s="32"/>
      <c r="AO968" s="57"/>
    </row>
    <row r="969" spans="6:41">
      <c r="F969" s="31"/>
      <c r="N969" s="30"/>
      <c r="V969" s="30"/>
      <c r="AC969" s="31"/>
      <c r="AN969" s="32"/>
      <c r="AO969" s="57"/>
    </row>
    <row r="970" spans="6:41">
      <c r="F970" s="31"/>
      <c r="N970" s="30"/>
      <c r="V970" s="30"/>
      <c r="AC970" s="31"/>
      <c r="AN970" s="32"/>
      <c r="AO970" s="57"/>
    </row>
    <row r="971" spans="6:41">
      <c r="F971" s="31"/>
      <c r="N971" s="30"/>
      <c r="V971" s="30"/>
      <c r="AC971" s="31"/>
      <c r="AN971" s="32"/>
      <c r="AO971" s="57"/>
    </row>
    <row r="972" spans="6:41">
      <c r="F972" s="31"/>
      <c r="N972" s="30"/>
      <c r="V972" s="30"/>
      <c r="AC972" s="31"/>
      <c r="AN972" s="32"/>
      <c r="AO972" s="57"/>
    </row>
    <row r="973" spans="6:41">
      <c r="F973" s="31"/>
      <c r="N973" s="30"/>
      <c r="V973" s="30"/>
      <c r="AC973" s="31"/>
      <c r="AN973" s="32"/>
      <c r="AO973" s="57"/>
    </row>
    <row r="974" spans="6:41">
      <c r="F974" s="31"/>
      <c r="N974" s="30"/>
      <c r="V974" s="30"/>
      <c r="AC974" s="31"/>
      <c r="AN974" s="32"/>
      <c r="AO974" s="57"/>
    </row>
    <row r="975" spans="6:41">
      <c r="F975" s="31"/>
      <c r="N975" s="30"/>
      <c r="V975" s="30"/>
      <c r="AC975" s="31"/>
      <c r="AN975" s="32"/>
      <c r="AO975" s="57"/>
    </row>
    <row r="976" spans="6:41">
      <c r="F976" s="31"/>
      <c r="N976" s="30"/>
      <c r="V976" s="30"/>
      <c r="AC976" s="31"/>
      <c r="AN976" s="32"/>
      <c r="AO976" s="57"/>
    </row>
    <row r="977" spans="6:41">
      <c r="F977" s="31"/>
      <c r="N977" s="30"/>
      <c r="V977" s="30"/>
      <c r="AC977" s="31"/>
      <c r="AN977" s="32"/>
      <c r="AO977" s="57"/>
    </row>
    <row r="978" spans="6:41">
      <c r="F978" s="31"/>
      <c r="N978" s="30"/>
      <c r="V978" s="30"/>
      <c r="AC978" s="31"/>
      <c r="AN978" s="32"/>
      <c r="AO978" s="57"/>
    </row>
    <row r="979" spans="6:41">
      <c r="F979" s="31"/>
      <c r="N979" s="30"/>
      <c r="V979" s="30"/>
      <c r="AC979" s="31"/>
      <c r="AN979" s="32"/>
      <c r="AO979" s="57"/>
    </row>
    <row r="980" spans="6:41">
      <c r="F980" s="31"/>
      <c r="N980" s="30"/>
      <c r="V980" s="30"/>
      <c r="AC980" s="31"/>
      <c r="AN980" s="32"/>
      <c r="AO980" s="57"/>
    </row>
    <row r="981" spans="6:41">
      <c r="F981" s="31"/>
      <c r="N981" s="30"/>
      <c r="V981" s="30"/>
      <c r="AC981" s="31"/>
      <c r="AN981" s="32"/>
      <c r="AO981" s="57"/>
    </row>
    <row r="982" spans="6:41">
      <c r="F982" s="31"/>
      <c r="N982" s="30"/>
      <c r="V982" s="30"/>
      <c r="AC982" s="31"/>
      <c r="AN982" s="32"/>
      <c r="AO982" s="57"/>
    </row>
    <row r="983" spans="6:41">
      <c r="F983" s="31"/>
      <c r="N983" s="30"/>
      <c r="V983" s="30"/>
      <c r="AC983" s="31"/>
      <c r="AN983" s="32"/>
      <c r="AO983" s="57"/>
    </row>
    <row r="984" spans="6:41">
      <c r="F984" s="31"/>
      <c r="N984" s="30"/>
      <c r="V984" s="30"/>
      <c r="AC984" s="31"/>
      <c r="AN984" s="32"/>
      <c r="AO984" s="57"/>
    </row>
    <row r="985" spans="6:41">
      <c r="F985" s="31"/>
      <c r="N985" s="30"/>
      <c r="V985" s="30"/>
      <c r="AC985" s="31"/>
      <c r="AN985" s="32"/>
      <c r="AO985" s="57"/>
    </row>
    <row r="986" spans="6:41">
      <c r="F986" s="31"/>
      <c r="N986" s="30"/>
      <c r="V986" s="30"/>
      <c r="AC986" s="31"/>
      <c r="AN986" s="32"/>
      <c r="AO986" s="57"/>
    </row>
    <row r="987" spans="6:41">
      <c r="F987" s="31"/>
      <c r="N987" s="30"/>
      <c r="V987" s="30"/>
      <c r="AC987" s="31"/>
      <c r="AN987" s="32"/>
      <c r="AO987" s="57"/>
    </row>
    <row r="988" spans="6:41">
      <c r="F988" s="31"/>
      <c r="N988" s="30"/>
      <c r="V988" s="30"/>
      <c r="AC988" s="31"/>
      <c r="AN988" s="32"/>
      <c r="AO988" s="57"/>
    </row>
    <row r="989" spans="6:41">
      <c r="F989" s="31"/>
      <c r="N989" s="30"/>
      <c r="V989" s="30"/>
      <c r="AC989" s="31"/>
      <c r="AN989" s="32"/>
      <c r="AO989" s="57"/>
    </row>
    <row r="990" spans="6:41">
      <c r="F990" s="31"/>
      <c r="N990" s="30"/>
      <c r="V990" s="30"/>
      <c r="AC990" s="31"/>
      <c r="AN990" s="32"/>
      <c r="AO990" s="57"/>
    </row>
    <row r="991" spans="6:41">
      <c r="F991" s="31"/>
      <c r="N991" s="30"/>
      <c r="V991" s="30"/>
      <c r="AC991" s="31"/>
      <c r="AN991" s="32"/>
      <c r="AO991" s="57"/>
    </row>
    <row r="992" spans="6:41">
      <c r="F992" s="31"/>
      <c r="N992" s="30"/>
      <c r="V992" s="30"/>
      <c r="AC992" s="31"/>
      <c r="AN992" s="32"/>
      <c r="AO992" s="57"/>
    </row>
    <row r="993" spans="6:41">
      <c r="F993" s="31"/>
      <c r="N993" s="30"/>
      <c r="V993" s="30"/>
      <c r="AC993" s="31"/>
      <c r="AN993" s="32"/>
      <c r="AO993" s="57"/>
    </row>
    <row r="994" spans="6:41">
      <c r="F994" s="31"/>
      <c r="N994" s="30"/>
      <c r="V994" s="30"/>
      <c r="AC994" s="31"/>
      <c r="AN994" s="32"/>
      <c r="AO994" s="57"/>
    </row>
    <row r="995" spans="6:41">
      <c r="F995" s="31"/>
      <c r="N995" s="30"/>
      <c r="V995" s="30"/>
      <c r="AC995" s="31"/>
      <c r="AN995" s="32"/>
      <c r="AO995" s="57"/>
    </row>
    <row r="996" spans="6:41">
      <c r="F996" s="31"/>
      <c r="N996" s="30"/>
      <c r="V996" s="30"/>
      <c r="AC996" s="31"/>
      <c r="AN996" s="32"/>
      <c r="AO996" s="57"/>
    </row>
    <row r="997" spans="6:41">
      <c r="F997" s="31"/>
      <c r="N997" s="30"/>
      <c r="V997" s="30"/>
      <c r="AC997" s="31"/>
      <c r="AN997" s="32"/>
      <c r="AO997" s="57"/>
    </row>
    <row r="998" spans="6:41">
      <c r="F998" s="31"/>
      <c r="N998" s="30"/>
      <c r="V998" s="30"/>
      <c r="AC998" s="31"/>
      <c r="AN998" s="32"/>
      <c r="AO998" s="57"/>
    </row>
    <row r="999" spans="6:41">
      <c r="F999" s="31"/>
      <c r="N999" s="30"/>
      <c r="V999" s="30"/>
      <c r="AC999" s="31"/>
      <c r="AN999" s="32"/>
      <c r="AO999" s="57"/>
    </row>
    <row r="1000" spans="6:41">
      <c r="F1000" s="31"/>
      <c r="N1000" s="30"/>
      <c r="V1000" s="30"/>
      <c r="AC1000" s="31"/>
      <c r="AN1000" s="32"/>
      <c r="AO1000"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T1000"/>
  <sheetViews>
    <sheetView workbookViewId="0">
      <pane xSplit="6" ySplit="1" topLeftCell="P2" activePane="bottomRight" state="frozen"/>
      <selection pane="topRight" activeCell="G1" sqref="G1"/>
      <selection pane="bottomLeft" activeCell="A2" sqref="A2"/>
      <selection pane="bottomRight" activeCell="AI20" sqref="AI20"/>
    </sheetView>
    <sheetView workbookViewId="1"/>
  </sheetViews>
  <sheetFormatPr defaultColWidth="14.42578125" defaultRowHeight="15.75" customHeight="1"/>
  <cols>
    <col min="1" max="1" width="5.7109375" customWidth="1"/>
    <col min="2" max="2" width="8.85546875" customWidth="1"/>
    <col min="3" max="3" width="7.42578125" customWidth="1"/>
    <col min="5" max="5" width="22.5703125" customWidth="1"/>
    <col min="6" max="6" width="10.85546875" customWidth="1"/>
    <col min="7" max="7" width="5.42578125" customWidth="1"/>
    <col min="8" max="9" width="6.42578125" customWidth="1"/>
    <col min="10" max="10" width="6" customWidth="1"/>
    <col min="11" max="11" width="5.42578125" customWidth="1"/>
    <col min="12" max="13" width="7.140625" customWidth="1"/>
    <col min="14" max="15" width="6.140625" customWidth="1"/>
    <col min="16" max="16" width="6.5703125" customWidth="1"/>
    <col min="17" max="17" width="5.5703125" customWidth="1"/>
    <col min="18" max="18" width="6.28515625" customWidth="1"/>
    <col min="19" max="19" width="6.85546875" customWidth="1"/>
    <col min="20" max="20" width="6.5703125" customWidth="1"/>
    <col min="21" max="22" width="7.140625" customWidth="1"/>
    <col min="23" max="23" width="6.5703125" customWidth="1"/>
    <col min="24" max="24" width="5.42578125" customWidth="1"/>
    <col min="25" max="26" width="5" customWidth="1"/>
    <col min="27" max="27" width="4.7109375" customWidth="1"/>
    <col min="28" max="28" width="7.28515625" customWidth="1"/>
    <col min="29" max="29" width="8.42578125" customWidth="1"/>
    <col min="30" max="30" width="8.140625" customWidth="1"/>
    <col min="31" max="31" width="7.42578125" customWidth="1"/>
    <col min="32" max="32" width="7.7109375" customWidth="1"/>
    <col min="33" max="33" width="6.7109375" customWidth="1"/>
    <col min="34" max="34" width="6.140625" customWidth="1"/>
    <col min="35" max="35" width="6.42578125" customWidth="1"/>
    <col min="36" max="36" width="8" customWidth="1"/>
    <col min="37" max="37" width="6.42578125" customWidth="1"/>
    <col min="38" max="38" width="11.42578125" customWidth="1"/>
    <col min="39" max="39" width="8.5703125" customWidth="1"/>
    <col min="40" max="40" width="32.140625" customWidth="1"/>
    <col min="41" max="41" width="7.85546875" customWidth="1"/>
    <col min="42" max="42" width="8.85546875" customWidth="1"/>
    <col min="43" max="43" width="8.1406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287076669</v>
      </c>
      <c r="E2" s="1" t="s">
        <v>187</v>
      </c>
      <c r="F2" s="45" t="s">
        <v>72</v>
      </c>
      <c r="G2" s="1">
        <v>1</v>
      </c>
      <c r="H2" s="1" t="s">
        <v>178</v>
      </c>
      <c r="I2" s="1" t="s">
        <v>22</v>
      </c>
      <c r="J2" s="1" t="s">
        <v>176</v>
      </c>
      <c r="K2" s="1" t="s">
        <v>189</v>
      </c>
      <c r="N2" s="30"/>
      <c r="O2" s="1">
        <v>0</v>
      </c>
      <c r="P2" s="1">
        <v>3</v>
      </c>
      <c r="Q2" s="1">
        <v>3</v>
      </c>
      <c r="R2" s="1">
        <v>0</v>
      </c>
      <c r="S2" s="1" t="s">
        <v>179</v>
      </c>
      <c r="T2" s="1">
        <v>2</v>
      </c>
      <c r="U2" s="31"/>
      <c r="W2" s="1" t="s">
        <v>178</v>
      </c>
      <c r="AC2" s="31"/>
      <c r="AD2" s="1">
        <v>61</v>
      </c>
      <c r="AE2" s="1">
        <v>11.9</v>
      </c>
      <c r="AF2" s="1">
        <v>300</v>
      </c>
      <c r="AG2" s="1">
        <v>7</v>
      </c>
      <c r="AH2" s="1">
        <v>3</v>
      </c>
      <c r="AI2" s="1">
        <v>6</v>
      </c>
      <c r="AJ2" s="1" t="s">
        <v>180</v>
      </c>
      <c r="AK2" s="1">
        <v>7</v>
      </c>
      <c r="AM2" s="1">
        <v>1</v>
      </c>
      <c r="AN2" s="43" t="s">
        <v>283</v>
      </c>
      <c r="AO2" s="33" t="s">
        <v>157</v>
      </c>
      <c r="AP2" s="1">
        <v>1</v>
      </c>
    </row>
    <row r="3" spans="1:72">
      <c r="A3" s="1">
        <v>2</v>
      </c>
      <c r="B3" s="1" t="s">
        <v>174</v>
      </c>
      <c r="C3" s="1" t="s">
        <v>179</v>
      </c>
      <c r="D3" s="1">
        <v>288029955</v>
      </c>
      <c r="E3" s="1" t="s">
        <v>225</v>
      </c>
      <c r="F3" s="45" t="s">
        <v>122</v>
      </c>
      <c r="G3" s="1">
        <v>6</v>
      </c>
      <c r="H3" s="1" t="s">
        <v>22</v>
      </c>
      <c r="J3" s="1" t="s">
        <v>188</v>
      </c>
      <c r="K3" s="1" t="s">
        <v>186</v>
      </c>
      <c r="L3" s="1" t="s">
        <v>22</v>
      </c>
      <c r="N3" s="30"/>
      <c r="O3" s="1">
        <v>2</v>
      </c>
      <c r="P3" s="1">
        <v>0</v>
      </c>
      <c r="Q3" s="1">
        <v>1</v>
      </c>
      <c r="R3" s="1">
        <v>0</v>
      </c>
      <c r="S3" s="1" t="s">
        <v>179</v>
      </c>
      <c r="T3" s="1">
        <v>2</v>
      </c>
      <c r="U3" s="31"/>
      <c r="V3" s="1" t="s">
        <v>178</v>
      </c>
      <c r="W3" s="1" t="s">
        <v>178</v>
      </c>
      <c r="AA3" s="1" t="s">
        <v>189</v>
      </c>
      <c r="AC3" s="31"/>
      <c r="AD3" s="1">
        <v>53</v>
      </c>
      <c r="AE3" s="1">
        <v>9.8000000000000007</v>
      </c>
      <c r="AF3" s="35">
        <v>300</v>
      </c>
      <c r="AG3" s="35">
        <v>7</v>
      </c>
      <c r="AH3" s="35">
        <v>3</v>
      </c>
      <c r="AI3" s="1">
        <v>6</v>
      </c>
      <c r="AJ3" s="35" t="s">
        <v>180</v>
      </c>
      <c r="AK3" s="1">
        <v>21</v>
      </c>
      <c r="AN3" s="32"/>
      <c r="AO3" s="60">
        <v>0</v>
      </c>
      <c r="AP3" s="35">
        <v>1</v>
      </c>
    </row>
    <row r="4" spans="1:72">
      <c r="A4" s="36">
        <v>3</v>
      </c>
      <c r="B4" s="36" t="s">
        <v>174</v>
      </c>
      <c r="C4" s="36" t="s">
        <v>179</v>
      </c>
      <c r="D4" s="36">
        <v>288029956</v>
      </c>
      <c r="E4" s="36" t="s">
        <v>225</v>
      </c>
      <c r="F4" s="58" t="s">
        <v>122</v>
      </c>
      <c r="G4" s="36">
        <v>2</v>
      </c>
      <c r="H4" s="36" t="s">
        <v>183</v>
      </c>
      <c r="I4" s="37"/>
      <c r="J4" s="36" t="s">
        <v>232</v>
      </c>
      <c r="K4" s="36" t="s">
        <v>189</v>
      </c>
      <c r="L4" s="37"/>
      <c r="M4" s="37"/>
      <c r="N4" s="55">
        <v>1</v>
      </c>
      <c r="O4" s="36">
        <v>0</v>
      </c>
      <c r="P4" s="36">
        <v>0</v>
      </c>
      <c r="Q4" s="36">
        <v>2</v>
      </c>
      <c r="R4" s="36">
        <v>2</v>
      </c>
      <c r="S4" s="36" t="s">
        <v>179</v>
      </c>
      <c r="T4" s="36">
        <v>1</v>
      </c>
      <c r="U4" s="58">
        <v>3</v>
      </c>
      <c r="V4" s="36" t="s">
        <v>183</v>
      </c>
      <c r="W4" s="37"/>
      <c r="X4" s="37"/>
      <c r="Y4" s="37"/>
      <c r="Z4" s="37"/>
      <c r="AA4" s="37"/>
      <c r="AB4" s="37"/>
      <c r="AC4" s="39"/>
      <c r="AD4" s="36">
        <v>52</v>
      </c>
      <c r="AE4" s="36">
        <v>8.3000000000000007</v>
      </c>
      <c r="AF4" s="40">
        <v>300</v>
      </c>
      <c r="AG4" s="40">
        <v>7</v>
      </c>
      <c r="AH4" s="40">
        <v>3</v>
      </c>
      <c r="AI4" s="36">
        <v>630</v>
      </c>
      <c r="AJ4" s="40" t="s">
        <v>180</v>
      </c>
      <c r="AK4" s="36">
        <v>21</v>
      </c>
      <c r="AL4" s="37"/>
      <c r="AM4" s="37"/>
      <c r="AN4" s="41"/>
      <c r="AO4" s="61">
        <v>0</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288029957</v>
      </c>
      <c r="E5" s="1" t="s">
        <v>225</v>
      </c>
      <c r="F5" s="45" t="s">
        <v>122</v>
      </c>
      <c r="G5" s="1">
        <v>5</v>
      </c>
      <c r="H5" s="1" t="s">
        <v>22</v>
      </c>
      <c r="I5" s="1" t="s">
        <v>177</v>
      </c>
      <c r="J5" s="1" t="s">
        <v>232</v>
      </c>
      <c r="K5" s="1" t="s">
        <v>177</v>
      </c>
      <c r="L5" s="1" t="s">
        <v>22</v>
      </c>
      <c r="N5" s="30"/>
      <c r="O5" s="1">
        <v>0</v>
      </c>
      <c r="P5" s="1">
        <v>3</v>
      </c>
      <c r="Q5" s="1">
        <v>2</v>
      </c>
      <c r="R5" s="1">
        <v>0</v>
      </c>
      <c r="S5" s="1" t="s">
        <v>179</v>
      </c>
      <c r="T5" s="1">
        <v>3</v>
      </c>
      <c r="U5" s="31"/>
      <c r="V5" s="1" t="s">
        <v>183</v>
      </c>
      <c r="W5" s="1" t="s">
        <v>183</v>
      </c>
      <c r="AA5" s="1" t="s">
        <v>189</v>
      </c>
      <c r="AC5" s="31"/>
      <c r="AD5" s="1">
        <v>50</v>
      </c>
      <c r="AE5" s="1">
        <v>9.6</v>
      </c>
      <c r="AF5" s="35">
        <v>300</v>
      </c>
      <c r="AG5" s="35">
        <v>7</v>
      </c>
      <c r="AH5" s="35">
        <v>3</v>
      </c>
      <c r="AI5" s="1">
        <v>710</v>
      </c>
      <c r="AJ5" s="35" t="s">
        <v>180</v>
      </c>
      <c r="AK5" s="1">
        <v>21</v>
      </c>
      <c r="AN5" s="32"/>
      <c r="AO5" s="60">
        <v>0</v>
      </c>
      <c r="AP5" s="35">
        <v>1</v>
      </c>
    </row>
    <row r="6" spans="1:72">
      <c r="A6" s="1">
        <v>5</v>
      </c>
      <c r="B6" s="1" t="s">
        <v>174</v>
      </c>
      <c r="C6" s="1" t="s">
        <v>179</v>
      </c>
      <c r="D6" s="1">
        <v>288029960</v>
      </c>
      <c r="E6" s="46" t="s">
        <v>204</v>
      </c>
      <c r="F6" s="45" t="s">
        <v>88</v>
      </c>
      <c r="G6" s="1">
        <v>1</v>
      </c>
      <c r="H6" s="1" t="s">
        <v>186</v>
      </c>
      <c r="J6" s="1" t="s">
        <v>205</v>
      </c>
      <c r="K6" s="1" t="s">
        <v>189</v>
      </c>
      <c r="N6" s="30"/>
      <c r="O6" s="1">
        <v>0</v>
      </c>
      <c r="P6" s="1">
        <v>0</v>
      </c>
      <c r="Q6" s="1">
        <v>1</v>
      </c>
      <c r="R6" s="1">
        <v>1</v>
      </c>
      <c r="S6" s="1" t="s">
        <v>155</v>
      </c>
      <c r="T6" s="1">
        <v>2</v>
      </c>
      <c r="U6" s="31"/>
      <c r="AC6" s="31"/>
      <c r="AD6" s="1">
        <v>56</v>
      </c>
      <c r="AE6" s="1">
        <v>9.6999999999999993</v>
      </c>
      <c r="AF6" s="35">
        <v>300</v>
      </c>
      <c r="AG6" s="35">
        <v>7</v>
      </c>
      <c r="AH6" s="35">
        <v>3</v>
      </c>
      <c r="AI6" s="1">
        <v>740</v>
      </c>
      <c r="AJ6" s="35" t="s">
        <v>180</v>
      </c>
      <c r="AK6" s="1">
        <v>9</v>
      </c>
      <c r="AM6" s="1">
        <v>2</v>
      </c>
      <c r="AN6" s="43" t="s">
        <v>284</v>
      </c>
      <c r="AO6" s="60">
        <v>0</v>
      </c>
      <c r="AP6" s="35">
        <v>1</v>
      </c>
    </row>
    <row r="7" spans="1:72">
      <c r="A7" s="36">
        <v>6</v>
      </c>
      <c r="B7" s="36" t="s">
        <v>174</v>
      </c>
      <c r="C7" s="36" t="s">
        <v>179</v>
      </c>
      <c r="D7" s="36">
        <v>135291875</v>
      </c>
      <c r="E7" s="36" t="s">
        <v>191</v>
      </c>
      <c r="F7" s="58" t="s">
        <v>99</v>
      </c>
      <c r="G7" s="36">
        <v>2</v>
      </c>
      <c r="H7" s="36" t="s">
        <v>183</v>
      </c>
      <c r="I7" s="37"/>
      <c r="J7" s="36" t="s">
        <v>232</v>
      </c>
      <c r="K7" s="36" t="s">
        <v>189</v>
      </c>
      <c r="L7" s="37"/>
      <c r="M7" s="37"/>
      <c r="N7" s="38"/>
      <c r="O7" s="36">
        <v>0</v>
      </c>
      <c r="P7" s="36">
        <v>0</v>
      </c>
      <c r="Q7" s="36">
        <v>1</v>
      </c>
      <c r="R7" s="36">
        <v>1</v>
      </c>
      <c r="S7" s="36" t="s">
        <v>179</v>
      </c>
      <c r="T7" s="36">
        <v>1</v>
      </c>
      <c r="U7" s="58">
        <v>3</v>
      </c>
      <c r="V7" s="36" t="s">
        <v>183</v>
      </c>
      <c r="W7" s="36" t="s">
        <v>183</v>
      </c>
      <c r="X7" s="37"/>
      <c r="Y7" s="37"/>
      <c r="Z7" s="37"/>
      <c r="AA7" s="36" t="s">
        <v>183</v>
      </c>
      <c r="AB7" s="37"/>
      <c r="AC7" s="39"/>
      <c r="AD7" s="36">
        <v>128</v>
      </c>
      <c r="AE7" s="36">
        <v>75</v>
      </c>
      <c r="AF7" s="40">
        <v>300</v>
      </c>
      <c r="AG7" s="40">
        <v>7</v>
      </c>
      <c r="AH7" s="40">
        <v>3</v>
      </c>
      <c r="AI7" s="36">
        <v>9</v>
      </c>
      <c r="AJ7" s="40" t="s">
        <v>180</v>
      </c>
      <c r="AK7" s="36">
        <v>15</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230196611</v>
      </c>
      <c r="E8" s="1" t="s">
        <v>181</v>
      </c>
      <c r="F8" s="45" t="s">
        <v>115</v>
      </c>
      <c r="G8" s="1">
        <v>6</v>
      </c>
      <c r="H8" s="1" t="s">
        <v>22</v>
      </c>
      <c r="J8" s="1" t="s">
        <v>188</v>
      </c>
      <c r="K8" s="1" t="s">
        <v>177</v>
      </c>
      <c r="L8" s="1" t="s">
        <v>22</v>
      </c>
      <c r="N8" s="30"/>
      <c r="U8" s="31"/>
      <c r="V8" s="1" t="s">
        <v>178</v>
      </c>
      <c r="AA8" s="1" t="s">
        <v>178</v>
      </c>
      <c r="AC8" s="31"/>
      <c r="AD8" s="1">
        <v>79</v>
      </c>
      <c r="AF8" s="35">
        <v>300</v>
      </c>
      <c r="AG8" s="35">
        <v>7</v>
      </c>
      <c r="AH8" s="35">
        <v>3</v>
      </c>
      <c r="AI8" s="1">
        <v>9</v>
      </c>
      <c r="AJ8" s="35" t="s">
        <v>180</v>
      </c>
      <c r="AK8" s="1">
        <v>7</v>
      </c>
      <c r="AM8" s="1">
        <v>3</v>
      </c>
      <c r="AN8" s="43" t="s">
        <v>285</v>
      </c>
      <c r="AO8" s="33" t="s">
        <v>157</v>
      </c>
      <c r="AP8" s="35">
        <v>1</v>
      </c>
    </row>
    <row r="9" spans="1:72">
      <c r="A9" s="1">
        <v>8</v>
      </c>
      <c r="B9" s="1" t="s">
        <v>174</v>
      </c>
      <c r="C9" s="1" t="s">
        <v>157</v>
      </c>
      <c r="D9" s="1">
        <v>247105140</v>
      </c>
      <c r="E9" s="1" t="s">
        <v>194</v>
      </c>
      <c r="F9" s="45" t="s">
        <v>98</v>
      </c>
      <c r="G9" s="1">
        <v>6</v>
      </c>
      <c r="H9" s="1" t="s">
        <v>22</v>
      </c>
      <c r="J9" s="1" t="s">
        <v>188</v>
      </c>
      <c r="K9" s="1" t="s">
        <v>186</v>
      </c>
      <c r="L9" s="1" t="s">
        <v>1</v>
      </c>
      <c r="N9" s="30"/>
      <c r="O9" s="1">
        <v>3</v>
      </c>
      <c r="P9" s="1">
        <v>0</v>
      </c>
      <c r="Q9" s="1">
        <v>2</v>
      </c>
      <c r="R9" s="1">
        <v>0</v>
      </c>
      <c r="S9" s="1" t="s">
        <v>179</v>
      </c>
      <c r="T9" s="1">
        <v>1</v>
      </c>
      <c r="U9" s="31"/>
      <c r="W9" s="1" t="s">
        <v>178</v>
      </c>
      <c r="AA9" s="1" t="s">
        <v>178</v>
      </c>
      <c r="AC9" s="31"/>
      <c r="AD9" s="1">
        <v>92</v>
      </c>
      <c r="AE9" s="1">
        <v>30.4</v>
      </c>
      <c r="AF9" s="35">
        <v>300</v>
      </c>
      <c r="AG9" s="35">
        <v>7</v>
      </c>
      <c r="AH9" s="35">
        <v>3</v>
      </c>
      <c r="AI9" s="1">
        <v>1010</v>
      </c>
      <c r="AJ9" s="35" t="s">
        <v>180</v>
      </c>
      <c r="AK9" s="1">
        <v>7</v>
      </c>
      <c r="AM9" s="1">
        <v>4</v>
      </c>
      <c r="AN9" s="43" t="s">
        <v>286</v>
      </c>
      <c r="AO9" s="33" t="s">
        <v>157</v>
      </c>
      <c r="AP9" s="35">
        <v>1</v>
      </c>
    </row>
    <row r="10" spans="1:72">
      <c r="A10" s="36">
        <v>9</v>
      </c>
      <c r="B10" s="36" t="s">
        <v>174</v>
      </c>
      <c r="C10" s="36" t="s">
        <v>157</v>
      </c>
      <c r="D10" s="36">
        <v>230196611</v>
      </c>
      <c r="E10" s="36" t="s">
        <v>181</v>
      </c>
      <c r="F10" s="58" t="s">
        <v>115</v>
      </c>
      <c r="G10" s="36">
        <v>1</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v>
      </c>
      <c r="AG10" s="40">
        <v>7</v>
      </c>
      <c r="AH10" s="40">
        <v>3</v>
      </c>
      <c r="AI10" s="36">
        <v>1120</v>
      </c>
      <c r="AJ10" s="40" t="s">
        <v>180</v>
      </c>
      <c r="AK10" s="36">
        <v>7</v>
      </c>
      <c r="AL10" s="36" t="s">
        <v>156</v>
      </c>
      <c r="AM10" s="36">
        <v>5</v>
      </c>
      <c r="AN10" s="44" t="s">
        <v>287</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174</v>
      </c>
      <c r="C11" s="11" t="s">
        <v>179</v>
      </c>
      <c r="D11" s="53">
        <v>281191239</v>
      </c>
      <c r="E11" s="11" t="s">
        <v>199</v>
      </c>
      <c r="F11" s="59" t="s">
        <v>111</v>
      </c>
      <c r="G11" s="11">
        <v>2</v>
      </c>
      <c r="H11" s="11" t="s">
        <v>183</v>
      </c>
      <c r="I11" s="12"/>
      <c r="J11" s="11" t="s">
        <v>232</v>
      </c>
      <c r="K11" s="11" t="s">
        <v>189</v>
      </c>
      <c r="L11" s="12"/>
      <c r="M11" s="12"/>
      <c r="N11" s="48"/>
      <c r="O11" s="11">
        <v>0</v>
      </c>
      <c r="P11" s="11">
        <v>0</v>
      </c>
      <c r="Q11" s="11">
        <v>1</v>
      </c>
      <c r="R11" s="11">
        <v>0</v>
      </c>
      <c r="S11" s="11" t="s">
        <v>179</v>
      </c>
      <c r="T11" s="11">
        <v>0</v>
      </c>
      <c r="U11" s="49"/>
      <c r="V11" s="11" t="s">
        <v>183</v>
      </c>
      <c r="W11" s="11" t="s">
        <v>183</v>
      </c>
      <c r="X11" s="11" t="s">
        <v>183</v>
      </c>
      <c r="Y11" s="11" t="s">
        <v>183</v>
      </c>
      <c r="Z11" s="11" t="s">
        <v>183</v>
      </c>
      <c r="AA11" s="11" t="s">
        <v>183</v>
      </c>
      <c r="AB11" s="12"/>
      <c r="AC11" s="49"/>
      <c r="AD11" s="11">
        <v>73</v>
      </c>
      <c r="AE11" s="11">
        <v>16</v>
      </c>
      <c r="AF11" s="50">
        <v>300</v>
      </c>
      <c r="AG11" s="50">
        <v>7</v>
      </c>
      <c r="AH11" s="50">
        <v>3</v>
      </c>
      <c r="AI11" s="11">
        <v>1120</v>
      </c>
      <c r="AJ11" s="50" t="s">
        <v>180</v>
      </c>
      <c r="AK11" s="11">
        <v>3</v>
      </c>
      <c r="AL11" s="12"/>
      <c r="AM11" s="12"/>
      <c r="AN11" s="51"/>
      <c r="AO11" s="62">
        <v>1</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288</v>
      </c>
      <c r="C12" s="1" t="s">
        <v>157</v>
      </c>
      <c r="D12" s="1">
        <v>172176237</v>
      </c>
      <c r="E12" s="1" t="s">
        <v>175</v>
      </c>
      <c r="F12" s="45" t="s">
        <v>114</v>
      </c>
      <c r="G12" s="1">
        <v>1</v>
      </c>
      <c r="H12" s="1" t="s">
        <v>178</v>
      </c>
      <c r="J12" s="1" t="s">
        <v>188</v>
      </c>
      <c r="K12" s="1" t="s">
        <v>186</v>
      </c>
      <c r="L12" s="1" t="s">
        <v>1</v>
      </c>
      <c r="N12" s="30"/>
      <c r="O12" s="1">
        <v>2</v>
      </c>
      <c r="P12" s="1">
        <v>0</v>
      </c>
      <c r="Q12" s="1">
        <v>1</v>
      </c>
      <c r="R12" s="1">
        <v>0</v>
      </c>
      <c r="S12" s="1" t="s">
        <v>179</v>
      </c>
      <c r="T12" s="1">
        <v>2</v>
      </c>
      <c r="U12" s="31"/>
      <c r="AC12" s="31"/>
      <c r="AD12" s="1">
        <v>66</v>
      </c>
      <c r="AE12" s="1">
        <v>22.6</v>
      </c>
      <c r="AF12" s="35">
        <v>300</v>
      </c>
      <c r="AG12" s="35">
        <v>7</v>
      </c>
      <c r="AH12" s="35">
        <v>3</v>
      </c>
      <c r="AI12" s="1">
        <v>630</v>
      </c>
      <c r="AJ12" s="35" t="s">
        <v>180</v>
      </c>
      <c r="AK12" s="1">
        <v>10</v>
      </c>
      <c r="AN12" s="32"/>
      <c r="AO12" s="60" t="s">
        <v>157</v>
      </c>
      <c r="AP12" s="1">
        <v>2</v>
      </c>
    </row>
    <row r="13" spans="1:72">
      <c r="A13" s="1">
        <v>2</v>
      </c>
      <c r="B13" s="1" t="s">
        <v>288</v>
      </c>
      <c r="C13" s="1" t="s">
        <v>157</v>
      </c>
      <c r="D13" s="1">
        <v>178168889</v>
      </c>
      <c r="E13" s="1" t="s">
        <v>181</v>
      </c>
      <c r="F13" s="45" t="s">
        <v>115</v>
      </c>
      <c r="G13" s="1">
        <v>6</v>
      </c>
      <c r="H13" s="1" t="s">
        <v>22</v>
      </c>
      <c r="J13" s="1" t="s">
        <v>188</v>
      </c>
      <c r="K13" s="1" t="s">
        <v>186</v>
      </c>
      <c r="L13" s="1" t="s">
        <v>1</v>
      </c>
      <c r="N13" s="30"/>
      <c r="O13" s="1">
        <v>3</v>
      </c>
      <c r="P13" s="1">
        <v>0</v>
      </c>
      <c r="Q13" s="1">
        <v>2</v>
      </c>
      <c r="R13" s="1">
        <v>1</v>
      </c>
      <c r="S13" s="1" t="s">
        <v>270</v>
      </c>
      <c r="T13" s="1">
        <v>2</v>
      </c>
      <c r="U13" s="31"/>
      <c r="AC13" s="31"/>
      <c r="AD13" s="1">
        <v>86</v>
      </c>
      <c r="AE13" s="1">
        <v>37.6</v>
      </c>
      <c r="AF13" s="35">
        <v>300</v>
      </c>
      <c r="AG13" s="35">
        <v>7</v>
      </c>
      <c r="AH13" s="35">
        <v>3</v>
      </c>
      <c r="AI13" s="1">
        <v>630</v>
      </c>
      <c r="AJ13" s="35" t="s">
        <v>180</v>
      </c>
      <c r="AK13" s="1">
        <v>7</v>
      </c>
      <c r="AN13" s="32"/>
      <c r="AO13" s="60" t="s">
        <v>157</v>
      </c>
      <c r="AP13" s="35">
        <v>2</v>
      </c>
    </row>
    <row r="14" spans="1:72">
      <c r="A14" s="36">
        <v>3</v>
      </c>
      <c r="B14" s="36" t="s">
        <v>288</v>
      </c>
      <c r="C14" s="36" t="s">
        <v>157</v>
      </c>
      <c r="D14" s="36">
        <v>279113620</v>
      </c>
      <c r="E14" s="36" t="s">
        <v>175</v>
      </c>
      <c r="F14" s="58" t="s">
        <v>114</v>
      </c>
      <c r="G14" s="36">
        <v>1</v>
      </c>
      <c r="H14" s="36" t="s">
        <v>22</v>
      </c>
      <c r="I14" s="37"/>
      <c r="J14" s="36" t="s">
        <v>176</v>
      </c>
      <c r="K14" s="36" t="s">
        <v>177</v>
      </c>
      <c r="L14" s="36" t="s">
        <v>178</v>
      </c>
      <c r="M14" s="37"/>
      <c r="N14" s="38"/>
      <c r="O14" s="36">
        <v>0</v>
      </c>
      <c r="P14" s="36">
        <v>2</v>
      </c>
      <c r="Q14" s="36">
        <v>1</v>
      </c>
      <c r="R14" s="36">
        <v>0</v>
      </c>
      <c r="S14" s="36" t="s">
        <v>179</v>
      </c>
      <c r="T14" s="36">
        <v>2</v>
      </c>
      <c r="U14" s="39"/>
      <c r="V14" s="37"/>
      <c r="W14" s="37"/>
      <c r="X14" s="37"/>
      <c r="Y14" s="37"/>
      <c r="Z14" s="37"/>
      <c r="AA14" s="37"/>
      <c r="AB14" s="37"/>
      <c r="AC14" s="39"/>
      <c r="AD14" s="36">
        <v>67</v>
      </c>
      <c r="AE14" s="36">
        <v>26.1</v>
      </c>
      <c r="AF14" s="40">
        <v>300</v>
      </c>
      <c r="AG14" s="40">
        <v>7</v>
      </c>
      <c r="AH14" s="40">
        <v>3</v>
      </c>
      <c r="AI14" s="36">
        <v>630</v>
      </c>
      <c r="AJ14" s="40" t="s">
        <v>180</v>
      </c>
      <c r="AK14" s="36">
        <v>20</v>
      </c>
      <c r="AL14" s="37"/>
      <c r="AM14" s="37"/>
      <c r="AN14" s="41"/>
      <c r="AO14" s="61" t="s">
        <v>157</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288</v>
      </c>
      <c r="C15" s="1" t="s">
        <v>157</v>
      </c>
      <c r="D15" s="1">
        <v>283105290</v>
      </c>
      <c r="E15" s="1" t="s">
        <v>194</v>
      </c>
      <c r="F15" s="45" t="s">
        <v>98</v>
      </c>
      <c r="G15" s="1">
        <v>1</v>
      </c>
      <c r="H15" s="1" t="s">
        <v>22</v>
      </c>
      <c r="J15" s="1" t="s">
        <v>176</v>
      </c>
      <c r="K15" s="1" t="s">
        <v>177</v>
      </c>
      <c r="L15" s="1" t="s">
        <v>178</v>
      </c>
      <c r="N15" s="30"/>
      <c r="O15" s="1">
        <v>0</v>
      </c>
      <c r="P15" s="1">
        <v>2</v>
      </c>
      <c r="Q15" s="1">
        <v>1</v>
      </c>
      <c r="R15" s="1">
        <v>0</v>
      </c>
      <c r="S15" s="1" t="s">
        <v>179</v>
      </c>
      <c r="T15" s="1">
        <v>2</v>
      </c>
      <c r="U15" s="31"/>
      <c r="AC15" s="31"/>
      <c r="AD15" s="1">
        <v>91</v>
      </c>
      <c r="AE15" s="1">
        <v>29</v>
      </c>
      <c r="AF15" s="35">
        <v>300</v>
      </c>
      <c r="AG15" s="35">
        <v>7</v>
      </c>
      <c r="AH15" s="35">
        <v>3</v>
      </c>
      <c r="AI15" s="1">
        <v>710</v>
      </c>
      <c r="AJ15" s="35" t="s">
        <v>180</v>
      </c>
      <c r="AK15" s="1">
        <v>14</v>
      </c>
      <c r="AM15" s="1">
        <v>1</v>
      </c>
      <c r="AN15" s="43" t="s">
        <v>289</v>
      </c>
      <c r="AO15" s="60" t="s">
        <v>157</v>
      </c>
      <c r="AP15" s="35">
        <v>2</v>
      </c>
    </row>
    <row r="16" spans="1:72">
      <c r="A16" s="1">
        <v>5</v>
      </c>
      <c r="B16" s="1" t="s">
        <v>207</v>
      </c>
      <c r="C16" s="1" t="s">
        <v>189</v>
      </c>
      <c r="E16" s="1" t="s">
        <v>193</v>
      </c>
      <c r="F16" s="45" t="s">
        <v>32</v>
      </c>
      <c r="G16" s="1">
        <v>9</v>
      </c>
      <c r="N16" s="30"/>
      <c r="U16" s="31"/>
      <c r="AC16" s="31"/>
      <c r="AG16" s="35">
        <v>7</v>
      </c>
      <c r="AH16" s="35">
        <v>3</v>
      </c>
      <c r="AI16" s="1">
        <v>710</v>
      </c>
      <c r="AJ16" s="35" t="s">
        <v>180</v>
      </c>
      <c r="AK16" s="1">
        <v>9</v>
      </c>
      <c r="AN16" s="32"/>
      <c r="AO16" s="60" t="s">
        <v>189</v>
      </c>
      <c r="AP16" s="35">
        <v>2</v>
      </c>
    </row>
    <row r="17" spans="1:72">
      <c r="A17" s="36">
        <v>6</v>
      </c>
      <c r="B17" s="36" t="s">
        <v>288</v>
      </c>
      <c r="C17" s="36" t="s">
        <v>179</v>
      </c>
      <c r="D17" s="36">
        <v>281191236</v>
      </c>
      <c r="E17" s="36" t="s">
        <v>206</v>
      </c>
      <c r="F17" s="58" t="s">
        <v>105</v>
      </c>
      <c r="G17" s="36">
        <v>6</v>
      </c>
      <c r="H17" s="36" t="s">
        <v>22</v>
      </c>
      <c r="I17" s="37"/>
      <c r="J17" s="36" t="s">
        <v>188</v>
      </c>
      <c r="K17" s="36" t="s">
        <v>177</v>
      </c>
      <c r="L17" s="36" t="s">
        <v>178</v>
      </c>
      <c r="M17" s="37"/>
      <c r="N17" s="38"/>
      <c r="O17" s="36">
        <v>0</v>
      </c>
      <c r="P17" s="36">
        <v>4</v>
      </c>
      <c r="Q17" s="36">
        <v>4</v>
      </c>
      <c r="R17" s="36">
        <v>0</v>
      </c>
      <c r="S17" s="36" t="s">
        <v>179</v>
      </c>
      <c r="T17" s="36">
        <v>1</v>
      </c>
      <c r="U17" s="39"/>
      <c r="V17" s="37"/>
      <c r="W17" s="37"/>
      <c r="X17" s="37"/>
      <c r="Y17" s="37"/>
      <c r="Z17" s="37"/>
      <c r="AA17" s="37"/>
      <c r="AB17" s="37"/>
      <c r="AC17" s="39"/>
      <c r="AD17" s="36">
        <v>80</v>
      </c>
      <c r="AE17" s="36">
        <v>24.2</v>
      </c>
      <c r="AF17" s="40">
        <v>300</v>
      </c>
      <c r="AG17" s="40">
        <v>7</v>
      </c>
      <c r="AH17" s="40">
        <v>3</v>
      </c>
      <c r="AI17" s="36">
        <v>710</v>
      </c>
      <c r="AJ17" s="40" t="s">
        <v>180</v>
      </c>
      <c r="AK17" s="36">
        <v>9</v>
      </c>
      <c r="AL17" s="37"/>
      <c r="AM17" s="37"/>
      <c r="AN17" s="41"/>
      <c r="AO17" s="61">
        <v>1</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
        <v>7</v>
      </c>
      <c r="B18" s="1" t="s">
        <v>288</v>
      </c>
      <c r="C18" s="1" t="s">
        <v>179</v>
      </c>
      <c r="D18" s="1">
        <v>281191237</v>
      </c>
      <c r="E18" s="1" t="s">
        <v>199</v>
      </c>
      <c r="F18" s="45" t="s">
        <v>111</v>
      </c>
      <c r="G18" s="1">
        <v>6</v>
      </c>
      <c r="H18" s="1" t="s">
        <v>22</v>
      </c>
      <c r="J18" s="1" t="s">
        <v>188</v>
      </c>
      <c r="K18" s="1" t="s">
        <v>177</v>
      </c>
      <c r="L18" s="1" t="s">
        <v>178</v>
      </c>
      <c r="N18" s="30"/>
      <c r="O18" s="1">
        <v>0</v>
      </c>
      <c r="P18" s="1">
        <v>3</v>
      </c>
      <c r="Q18" s="1">
        <v>1</v>
      </c>
      <c r="R18" s="1">
        <v>0</v>
      </c>
      <c r="S18" s="1" t="s">
        <v>270</v>
      </c>
      <c r="T18" s="1">
        <v>1</v>
      </c>
      <c r="U18" s="31"/>
      <c r="AC18" s="31"/>
      <c r="AD18" s="1">
        <v>72</v>
      </c>
      <c r="AE18" s="1">
        <v>17</v>
      </c>
      <c r="AF18" s="35">
        <v>300</v>
      </c>
      <c r="AG18" s="35">
        <v>7</v>
      </c>
      <c r="AH18" s="35">
        <v>3</v>
      </c>
      <c r="AI18" s="1">
        <v>740</v>
      </c>
      <c r="AJ18" s="35" t="s">
        <v>180</v>
      </c>
      <c r="AK18" s="1">
        <v>7</v>
      </c>
      <c r="AM18" s="1">
        <v>2</v>
      </c>
      <c r="AN18" s="43" t="s">
        <v>290</v>
      </c>
      <c r="AO18" s="60">
        <v>1</v>
      </c>
      <c r="AP18" s="35">
        <v>2</v>
      </c>
    </row>
    <row r="19" spans="1:72">
      <c r="A19" s="1">
        <v>8</v>
      </c>
      <c r="B19" s="1" t="s">
        <v>288</v>
      </c>
      <c r="C19" s="1" t="s">
        <v>179</v>
      </c>
      <c r="D19" s="1">
        <v>288029961</v>
      </c>
      <c r="E19" s="1" t="s">
        <v>225</v>
      </c>
      <c r="F19" s="45" t="s">
        <v>122</v>
      </c>
      <c r="G19" s="1">
        <v>2</v>
      </c>
      <c r="H19" s="1" t="s">
        <v>22</v>
      </c>
      <c r="J19" s="1" t="s">
        <v>278</v>
      </c>
      <c r="K19" s="1" t="s">
        <v>189</v>
      </c>
      <c r="N19" s="34">
        <v>2</v>
      </c>
      <c r="O19" s="1">
        <v>0</v>
      </c>
      <c r="P19" s="1">
        <v>0</v>
      </c>
      <c r="Q19" s="1">
        <v>1</v>
      </c>
      <c r="R19" s="1">
        <v>4</v>
      </c>
      <c r="S19" s="1" t="s">
        <v>179</v>
      </c>
      <c r="T19" s="1">
        <v>1</v>
      </c>
      <c r="U19" s="45">
        <v>3</v>
      </c>
      <c r="AC19" s="31"/>
      <c r="AD19" s="1">
        <v>52</v>
      </c>
      <c r="AE19" s="1">
        <v>9</v>
      </c>
      <c r="AF19" s="35">
        <v>300</v>
      </c>
      <c r="AG19" s="35">
        <v>7</v>
      </c>
      <c r="AH19" s="35">
        <v>3</v>
      </c>
      <c r="AI19" s="1">
        <v>9</v>
      </c>
      <c r="AJ19" s="35" t="s">
        <v>180</v>
      </c>
      <c r="AK19" s="1">
        <v>21</v>
      </c>
      <c r="AN19" s="32"/>
      <c r="AO19" s="60">
        <v>0</v>
      </c>
      <c r="AP19" s="35">
        <v>2</v>
      </c>
    </row>
    <row r="20" spans="1:72">
      <c r="A20" s="36">
        <v>9</v>
      </c>
      <c r="B20" s="36" t="s">
        <v>207</v>
      </c>
      <c r="C20" s="36" t="s">
        <v>179</v>
      </c>
      <c r="D20" s="36">
        <v>290077841</v>
      </c>
      <c r="E20" s="36" t="s">
        <v>212</v>
      </c>
      <c r="F20" s="58" t="s">
        <v>91</v>
      </c>
      <c r="G20" s="36">
        <v>2</v>
      </c>
      <c r="H20" s="36" t="s">
        <v>183</v>
      </c>
      <c r="I20" s="37"/>
      <c r="J20" s="36" t="s">
        <v>232</v>
      </c>
      <c r="K20" s="36" t="s">
        <v>189</v>
      </c>
      <c r="L20" s="37"/>
      <c r="M20" s="37"/>
      <c r="N20" s="38"/>
      <c r="O20" s="36">
        <v>0</v>
      </c>
      <c r="P20" s="36">
        <v>0</v>
      </c>
      <c r="Q20" s="36">
        <v>0</v>
      </c>
      <c r="R20" s="36">
        <v>0</v>
      </c>
      <c r="S20" s="36" t="s">
        <v>179</v>
      </c>
      <c r="T20" s="36">
        <v>0</v>
      </c>
      <c r="U20" s="58">
        <v>3</v>
      </c>
      <c r="V20" s="37"/>
      <c r="W20" s="37"/>
      <c r="X20" s="37"/>
      <c r="Y20" s="37"/>
      <c r="Z20" s="37"/>
      <c r="AA20" s="37"/>
      <c r="AB20" s="37"/>
      <c r="AC20" s="39"/>
      <c r="AD20" s="36">
        <v>62</v>
      </c>
      <c r="AE20" s="36">
        <v>8.4</v>
      </c>
      <c r="AF20" s="40">
        <v>300</v>
      </c>
      <c r="AG20" s="40">
        <v>7</v>
      </c>
      <c r="AH20" s="40">
        <v>3</v>
      </c>
      <c r="AI20" s="37">
        <v>6</v>
      </c>
      <c r="AJ20" s="40" t="s">
        <v>180</v>
      </c>
      <c r="AK20" s="36">
        <v>2</v>
      </c>
      <c r="AL20" s="37"/>
      <c r="AM20" s="36">
        <v>3</v>
      </c>
      <c r="AN20" s="44" t="s">
        <v>291</v>
      </c>
      <c r="AO20" s="42" t="s">
        <v>215</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10</v>
      </c>
      <c r="B21" s="1" t="s">
        <v>288</v>
      </c>
      <c r="C21" s="1" t="s">
        <v>157</v>
      </c>
      <c r="D21" s="1">
        <v>283105290</v>
      </c>
      <c r="E21" s="1" t="s">
        <v>194</v>
      </c>
      <c r="F21" s="45" t="s">
        <v>98</v>
      </c>
      <c r="G21" s="1">
        <v>5</v>
      </c>
      <c r="H21" s="1" t="s">
        <v>22</v>
      </c>
      <c r="J21" s="1" t="s">
        <v>182</v>
      </c>
      <c r="K21" s="1" t="s">
        <v>177</v>
      </c>
      <c r="L21" s="1" t="s">
        <v>178</v>
      </c>
      <c r="N21" s="30"/>
      <c r="O21" s="1">
        <v>0</v>
      </c>
      <c r="P21" s="1">
        <v>2</v>
      </c>
      <c r="Q21" s="1">
        <v>1</v>
      </c>
      <c r="R21" s="1">
        <v>0</v>
      </c>
      <c r="S21" s="1" t="s">
        <v>179</v>
      </c>
      <c r="T21" s="1">
        <v>2</v>
      </c>
      <c r="U21" s="31"/>
      <c r="AC21" s="31"/>
      <c r="AD21" s="1">
        <v>91</v>
      </c>
      <c r="AE21" s="1">
        <v>28.8</v>
      </c>
      <c r="AF21" s="35">
        <v>300</v>
      </c>
      <c r="AG21" s="35">
        <v>7</v>
      </c>
      <c r="AH21" s="35">
        <v>3</v>
      </c>
      <c r="AI21" s="1">
        <v>1010</v>
      </c>
      <c r="AJ21" s="35" t="s">
        <v>180</v>
      </c>
      <c r="AK21" s="1">
        <v>14</v>
      </c>
      <c r="AM21" s="1">
        <v>4</v>
      </c>
      <c r="AN21" s="43" t="s">
        <v>292</v>
      </c>
      <c r="AO21" s="60" t="s">
        <v>157</v>
      </c>
      <c r="AP21" s="35">
        <v>2</v>
      </c>
    </row>
    <row r="22" spans="1:72">
      <c r="A22" s="1">
        <v>11</v>
      </c>
      <c r="B22" s="1" t="s">
        <v>288</v>
      </c>
      <c r="C22" s="1" t="s">
        <v>179</v>
      </c>
      <c r="D22" s="1">
        <v>230196612</v>
      </c>
      <c r="E22" s="1" t="s">
        <v>181</v>
      </c>
      <c r="F22" s="45" t="s">
        <v>115</v>
      </c>
      <c r="G22" s="1">
        <v>6</v>
      </c>
      <c r="H22" s="1" t="s">
        <v>22</v>
      </c>
      <c r="J22" s="1" t="s">
        <v>188</v>
      </c>
      <c r="K22" s="1" t="s">
        <v>186</v>
      </c>
      <c r="L22" s="1" t="s">
        <v>1</v>
      </c>
      <c r="N22" s="30"/>
      <c r="O22" s="1">
        <v>3</v>
      </c>
      <c r="P22" s="1">
        <v>0</v>
      </c>
      <c r="Q22" s="1">
        <v>1</v>
      </c>
      <c r="R22" s="1">
        <v>0</v>
      </c>
      <c r="S22" s="1" t="s">
        <v>179</v>
      </c>
      <c r="T22" s="1">
        <v>1</v>
      </c>
      <c r="U22" s="31"/>
      <c r="AC22" s="31"/>
      <c r="AD22" s="1">
        <v>82</v>
      </c>
      <c r="AE22" s="1">
        <v>37.5</v>
      </c>
      <c r="AF22" s="35">
        <v>300</v>
      </c>
      <c r="AG22" s="35">
        <v>7</v>
      </c>
      <c r="AH22" s="35">
        <v>3</v>
      </c>
      <c r="AI22" s="1">
        <v>1040</v>
      </c>
      <c r="AJ22" s="35" t="s">
        <v>180</v>
      </c>
      <c r="AK22" s="1">
        <v>6</v>
      </c>
      <c r="AM22" s="1">
        <v>5</v>
      </c>
      <c r="AN22" s="43" t="s">
        <v>293</v>
      </c>
      <c r="AO22" s="60" t="s">
        <v>184</v>
      </c>
      <c r="AP22" s="35">
        <v>2</v>
      </c>
    </row>
    <row r="23" spans="1:72">
      <c r="A23" s="36">
        <v>12</v>
      </c>
      <c r="B23" s="36" t="s">
        <v>288</v>
      </c>
      <c r="C23" s="36" t="s">
        <v>179</v>
      </c>
      <c r="D23" s="36">
        <v>281191240</v>
      </c>
      <c r="E23" s="36" t="s">
        <v>199</v>
      </c>
      <c r="F23" s="58" t="s">
        <v>111</v>
      </c>
      <c r="G23" s="36">
        <v>2</v>
      </c>
      <c r="H23" s="36" t="s">
        <v>183</v>
      </c>
      <c r="I23" s="37"/>
      <c r="J23" s="36" t="s">
        <v>232</v>
      </c>
      <c r="K23" s="36" t="s">
        <v>189</v>
      </c>
      <c r="L23" s="37"/>
      <c r="M23" s="37"/>
      <c r="N23" s="38"/>
      <c r="O23" s="36">
        <v>0</v>
      </c>
      <c r="P23" s="36">
        <v>0</v>
      </c>
      <c r="Q23" s="36">
        <v>3</v>
      </c>
      <c r="R23" s="36">
        <v>0</v>
      </c>
      <c r="S23" s="36" t="s">
        <v>179</v>
      </c>
      <c r="T23" s="36">
        <v>1</v>
      </c>
      <c r="U23" s="58">
        <v>3</v>
      </c>
      <c r="V23" s="37"/>
      <c r="W23" s="37"/>
      <c r="X23" s="37"/>
      <c r="Y23" s="37"/>
      <c r="Z23" s="37"/>
      <c r="AA23" s="37"/>
      <c r="AB23" s="37"/>
      <c r="AC23" s="39"/>
      <c r="AD23" s="36">
        <v>74</v>
      </c>
      <c r="AE23" s="36">
        <v>18.399999999999999</v>
      </c>
      <c r="AF23" s="40">
        <v>300</v>
      </c>
      <c r="AG23" s="40">
        <v>7</v>
      </c>
      <c r="AH23" s="40">
        <v>3</v>
      </c>
      <c r="AI23" s="36">
        <v>1120</v>
      </c>
      <c r="AJ23" s="40" t="s">
        <v>180</v>
      </c>
      <c r="AK23" s="36">
        <v>3</v>
      </c>
      <c r="AL23" s="37"/>
      <c r="AM23" s="36">
        <v>6</v>
      </c>
      <c r="AN23" s="44" t="s">
        <v>294</v>
      </c>
      <c r="AO23" s="61">
        <v>1</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13</v>
      </c>
      <c r="B24" s="11" t="s">
        <v>288</v>
      </c>
      <c r="C24" s="11" t="s">
        <v>157</v>
      </c>
      <c r="D24" s="11">
        <v>283105227</v>
      </c>
      <c r="E24" s="11" t="s">
        <v>194</v>
      </c>
      <c r="F24" s="59" t="s">
        <v>98</v>
      </c>
      <c r="G24" s="11">
        <v>1</v>
      </c>
      <c r="H24" s="11" t="s">
        <v>22</v>
      </c>
      <c r="I24" s="12"/>
      <c r="J24" s="11" t="s">
        <v>176</v>
      </c>
      <c r="K24" s="11" t="s">
        <v>186</v>
      </c>
      <c r="L24" s="11" t="s">
        <v>1</v>
      </c>
      <c r="M24" s="12"/>
      <c r="N24" s="48"/>
      <c r="O24" s="11">
        <v>2</v>
      </c>
      <c r="P24" s="11">
        <v>0</v>
      </c>
      <c r="Q24" s="11">
        <v>1</v>
      </c>
      <c r="R24" s="11">
        <v>0</v>
      </c>
      <c r="S24" s="11" t="s">
        <v>179</v>
      </c>
      <c r="T24" s="11">
        <v>1</v>
      </c>
      <c r="U24" s="49"/>
      <c r="V24" s="12"/>
      <c r="W24" s="12"/>
      <c r="X24" s="12"/>
      <c r="Y24" s="12"/>
      <c r="Z24" s="12"/>
      <c r="AA24" s="12"/>
      <c r="AB24" s="12"/>
      <c r="AC24" s="49"/>
      <c r="AD24" s="11">
        <v>96</v>
      </c>
      <c r="AE24" s="11">
        <v>28.5</v>
      </c>
      <c r="AF24" s="50">
        <v>300</v>
      </c>
      <c r="AG24" s="50">
        <v>7</v>
      </c>
      <c r="AH24" s="50">
        <v>3</v>
      </c>
      <c r="AI24" s="11">
        <v>1120</v>
      </c>
      <c r="AJ24" s="50" t="s">
        <v>180</v>
      </c>
      <c r="AK24" s="11">
        <v>8</v>
      </c>
      <c r="AL24" s="12"/>
      <c r="AM24" s="12"/>
      <c r="AN24" s="51"/>
      <c r="AO24" s="62" t="s">
        <v>157</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227</v>
      </c>
      <c r="C25" s="1" t="s">
        <v>179</v>
      </c>
      <c r="D25" s="1">
        <v>230196611</v>
      </c>
      <c r="E25" s="1" t="s">
        <v>181</v>
      </c>
      <c r="F25" s="45" t="s">
        <v>115</v>
      </c>
      <c r="G25" s="1">
        <v>1</v>
      </c>
      <c r="H25" s="1" t="s">
        <v>155</v>
      </c>
      <c r="I25" s="1" t="s">
        <v>22</v>
      </c>
      <c r="J25" s="1" t="s">
        <v>176</v>
      </c>
      <c r="K25" s="1" t="s">
        <v>177</v>
      </c>
      <c r="L25" s="1" t="s">
        <v>178</v>
      </c>
      <c r="M25" s="1" t="s">
        <v>22</v>
      </c>
      <c r="N25" s="34">
        <v>6</v>
      </c>
      <c r="O25" s="1">
        <v>0</v>
      </c>
      <c r="P25" s="1">
        <v>4</v>
      </c>
      <c r="Q25" s="1">
        <v>2</v>
      </c>
      <c r="R25" s="1">
        <v>0</v>
      </c>
      <c r="S25" s="1" t="s">
        <v>179</v>
      </c>
      <c r="T25" s="1">
        <v>2</v>
      </c>
      <c r="U25" s="31"/>
      <c r="AC25" s="31"/>
      <c r="AD25" s="1">
        <v>80</v>
      </c>
      <c r="AE25" s="1">
        <v>37.9</v>
      </c>
      <c r="AF25" s="35">
        <v>300</v>
      </c>
      <c r="AG25" s="35">
        <v>7</v>
      </c>
      <c r="AH25" s="35">
        <v>3</v>
      </c>
      <c r="AI25" s="1">
        <v>6</v>
      </c>
      <c r="AJ25" s="35" t="s">
        <v>180</v>
      </c>
      <c r="AK25" s="1">
        <v>7</v>
      </c>
      <c r="AM25" s="1">
        <v>1</v>
      </c>
      <c r="AN25" s="43" t="s">
        <v>295</v>
      </c>
      <c r="AO25" s="60" t="s">
        <v>184</v>
      </c>
      <c r="AP25" s="1">
        <v>3</v>
      </c>
    </row>
    <row r="26" spans="1:72">
      <c r="A26" s="1">
        <v>2</v>
      </c>
      <c r="B26" s="1" t="s">
        <v>227</v>
      </c>
      <c r="C26" s="1" t="s">
        <v>157</v>
      </c>
      <c r="D26" s="1">
        <v>283105241</v>
      </c>
      <c r="E26" s="1" t="s">
        <v>194</v>
      </c>
      <c r="F26" s="45" t="s">
        <v>98</v>
      </c>
      <c r="G26" s="1">
        <v>1</v>
      </c>
      <c r="H26" s="1" t="s">
        <v>155</v>
      </c>
      <c r="I26" s="1" t="s">
        <v>1</v>
      </c>
      <c r="J26" s="1" t="s">
        <v>176</v>
      </c>
      <c r="K26" s="1" t="s">
        <v>186</v>
      </c>
      <c r="L26" s="1" t="s">
        <v>1</v>
      </c>
      <c r="M26" s="1" t="s">
        <v>22</v>
      </c>
      <c r="N26" s="34">
        <v>5</v>
      </c>
      <c r="O26" s="1">
        <v>3</v>
      </c>
      <c r="P26" s="1">
        <v>0</v>
      </c>
      <c r="Q26" s="1">
        <v>0</v>
      </c>
      <c r="R26" s="1">
        <v>0</v>
      </c>
      <c r="S26" s="1" t="s">
        <v>179</v>
      </c>
      <c r="T26" s="1">
        <v>1</v>
      </c>
      <c r="U26" s="31"/>
      <c r="AC26" s="31"/>
      <c r="AD26" s="1">
        <v>93</v>
      </c>
      <c r="AE26" s="1">
        <v>28.6</v>
      </c>
      <c r="AF26" s="35">
        <v>300</v>
      </c>
      <c r="AG26" s="35">
        <v>7</v>
      </c>
      <c r="AH26" s="35">
        <v>3</v>
      </c>
      <c r="AI26" s="1">
        <v>6</v>
      </c>
      <c r="AJ26" s="35" t="s">
        <v>180</v>
      </c>
      <c r="AK26" s="1">
        <v>7</v>
      </c>
      <c r="AN26" s="32"/>
      <c r="AO26" s="60" t="s">
        <v>157</v>
      </c>
      <c r="AP26" s="35">
        <v>3</v>
      </c>
    </row>
    <row r="27" spans="1:72">
      <c r="A27" s="36">
        <v>3</v>
      </c>
      <c r="B27" s="36" t="s">
        <v>227</v>
      </c>
      <c r="C27" s="36" t="s">
        <v>189</v>
      </c>
      <c r="D27" s="37"/>
      <c r="E27" s="36" t="s">
        <v>192</v>
      </c>
      <c r="F27" s="58" t="s">
        <v>37</v>
      </c>
      <c r="G27" s="36">
        <v>2</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v>
      </c>
      <c r="AH27" s="40">
        <v>3</v>
      </c>
      <c r="AI27" s="36">
        <v>6</v>
      </c>
      <c r="AJ27" s="40" t="s">
        <v>180</v>
      </c>
      <c r="AK27" s="36">
        <v>21</v>
      </c>
      <c r="AL27" s="37"/>
      <c r="AM27" s="37"/>
      <c r="AN27" s="41"/>
      <c r="AO27" s="61"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227</v>
      </c>
      <c r="C28" s="1" t="s">
        <v>157</v>
      </c>
      <c r="D28" s="1">
        <v>283105233</v>
      </c>
      <c r="E28" s="1" t="s">
        <v>175</v>
      </c>
      <c r="F28" s="45" t="s">
        <v>114</v>
      </c>
      <c r="G28" s="1">
        <v>1</v>
      </c>
      <c r="H28" s="1" t="s">
        <v>155</v>
      </c>
      <c r="I28" s="1" t="s">
        <v>1</v>
      </c>
      <c r="J28" s="1" t="s">
        <v>176</v>
      </c>
      <c r="K28" s="1" t="s">
        <v>186</v>
      </c>
      <c r="L28" s="1" t="s">
        <v>1</v>
      </c>
      <c r="M28" s="1" t="s">
        <v>22</v>
      </c>
      <c r="N28" s="34">
        <v>5</v>
      </c>
      <c r="O28" s="1">
        <v>3</v>
      </c>
      <c r="P28" s="1">
        <v>0</v>
      </c>
      <c r="Q28" s="1">
        <v>0</v>
      </c>
      <c r="R28" s="1">
        <v>0</v>
      </c>
      <c r="S28" s="1" t="s">
        <v>179</v>
      </c>
      <c r="T28" s="1">
        <v>3</v>
      </c>
      <c r="U28" s="31"/>
      <c r="AC28" s="31"/>
      <c r="AD28" s="1">
        <v>64</v>
      </c>
      <c r="AE28" s="1">
        <v>23.8</v>
      </c>
      <c r="AF28" s="35">
        <v>300</v>
      </c>
      <c r="AG28" s="35">
        <v>7</v>
      </c>
      <c r="AH28" s="35">
        <v>3</v>
      </c>
      <c r="AI28" s="1">
        <v>630</v>
      </c>
      <c r="AJ28" s="35" t="s">
        <v>180</v>
      </c>
      <c r="AK28" s="1">
        <v>15</v>
      </c>
      <c r="AN28" s="32"/>
      <c r="AO28" s="60" t="s">
        <v>157</v>
      </c>
      <c r="AP28" s="35">
        <v>3</v>
      </c>
    </row>
    <row r="29" spans="1:72">
      <c r="A29" s="1">
        <v>5</v>
      </c>
      <c r="B29" s="1" t="s">
        <v>227</v>
      </c>
      <c r="C29" s="1" t="s">
        <v>179</v>
      </c>
      <c r="D29" s="1">
        <v>288029958</v>
      </c>
      <c r="E29" s="1" t="s">
        <v>238</v>
      </c>
      <c r="F29" s="45" t="s">
        <v>87</v>
      </c>
      <c r="G29" s="1">
        <v>2</v>
      </c>
      <c r="H29" s="1" t="s">
        <v>22</v>
      </c>
      <c r="J29" s="1" t="s">
        <v>296</v>
      </c>
      <c r="K29" s="1" t="s">
        <v>189</v>
      </c>
      <c r="N29" s="34">
        <v>6</v>
      </c>
      <c r="O29" s="1">
        <v>0</v>
      </c>
      <c r="P29" s="1">
        <v>0</v>
      </c>
      <c r="Q29" s="1">
        <v>1</v>
      </c>
      <c r="R29" s="1">
        <v>0</v>
      </c>
      <c r="S29" s="1" t="s">
        <v>155</v>
      </c>
      <c r="T29" s="1">
        <v>2</v>
      </c>
      <c r="U29" s="31"/>
      <c r="AC29" s="31"/>
      <c r="AD29" s="1">
        <v>61</v>
      </c>
      <c r="AE29" s="1">
        <v>10.5</v>
      </c>
      <c r="AF29" s="35">
        <v>300</v>
      </c>
      <c r="AG29" s="35">
        <v>7</v>
      </c>
      <c r="AH29" s="35">
        <v>3</v>
      </c>
      <c r="AI29" s="1">
        <v>710</v>
      </c>
      <c r="AJ29" s="35" t="s">
        <v>180</v>
      </c>
      <c r="AK29" s="1">
        <v>9</v>
      </c>
      <c r="AM29" s="1">
        <v>2</v>
      </c>
      <c r="AN29" s="43" t="s">
        <v>297</v>
      </c>
      <c r="AO29" s="60">
        <v>0</v>
      </c>
      <c r="AP29" s="35">
        <v>3</v>
      </c>
    </row>
    <row r="30" spans="1:72">
      <c r="A30" s="36">
        <v>6</v>
      </c>
      <c r="B30" s="36" t="s">
        <v>227</v>
      </c>
      <c r="C30" s="36" t="s">
        <v>157</v>
      </c>
      <c r="D30" s="36">
        <v>178168889</v>
      </c>
      <c r="E30" s="36" t="s">
        <v>181</v>
      </c>
      <c r="F30" s="58" t="s">
        <v>115</v>
      </c>
      <c r="G30" s="36">
        <v>1</v>
      </c>
      <c r="H30" s="36" t="s">
        <v>155</v>
      </c>
      <c r="I30" s="36" t="s">
        <v>1</v>
      </c>
      <c r="J30" s="36" t="s">
        <v>176</v>
      </c>
      <c r="K30" s="36" t="s">
        <v>186</v>
      </c>
      <c r="L30" s="36" t="s">
        <v>1</v>
      </c>
      <c r="M30" s="36" t="s">
        <v>22</v>
      </c>
      <c r="N30" s="55">
        <v>6</v>
      </c>
      <c r="O30" s="36">
        <v>3</v>
      </c>
      <c r="P30" s="36">
        <v>0</v>
      </c>
      <c r="Q30" s="36">
        <v>1</v>
      </c>
      <c r="R30" s="36">
        <v>1</v>
      </c>
      <c r="S30" s="36" t="s">
        <v>270</v>
      </c>
      <c r="T30" s="36">
        <v>3</v>
      </c>
      <c r="U30" s="39"/>
      <c r="V30" s="37"/>
      <c r="W30" s="37"/>
      <c r="X30" s="37"/>
      <c r="Y30" s="37"/>
      <c r="Z30" s="37"/>
      <c r="AA30" s="37"/>
      <c r="AB30" s="37"/>
      <c r="AC30" s="39"/>
      <c r="AD30" s="36">
        <v>84</v>
      </c>
      <c r="AE30" s="36">
        <v>37.6</v>
      </c>
      <c r="AF30" s="40">
        <v>300</v>
      </c>
      <c r="AG30" s="40">
        <v>7</v>
      </c>
      <c r="AH30" s="40">
        <v>3</v>
      </c>
      <c r="AI30" s="36">
        <v>740</v>
      </c>
      <c r="AJ30" s="40" t="s">
        <v>180</v>
      </c>
      <c r="AK30" s="36">
        <v>7</v>
      </c>
      <c r="AL30" s="37"/>
      <c r="AM30" s="36">
        <v>3</v>
      </c>
      <c r="AN30" s="44" t="s">
        <v>298</v>
      </c>
      <c r="AO30" s="61" t="s">
        <v>157</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227</v>
      </c>
      <c r="C31" s="1" t="s">
        <v>157</v>
      </c>
      <c r="D31" s="1">
        <v>288029958</v>
      </c>
      <c r="E31" s="1" t="s">
        <v>238</v>
      </c>
      <c r="F31" s="45" t="s">
        <v>87</v>
      </c>
      <c r="G31" s="1">
        <v>2</v>
      </c>
      <c r="H31" s="1" t="s">
        <v>22</v>
      </c>
      <c r="J31" s="1" t="s">
        <v>296</v>
      </c>
      <c r="K31" s="1" t="s">
        <v>189</v>
      </c>
      <c r="N31" s="34">
        <v>6</v>
      </c>
      <c r="O31" s="1">
        <v>0</v>
      </c>
      <c r="P31" s="1">
        <v>0</v>
      </c>
      <c r="Q31" s="1">
        <v>1</v>
      </c>
      <c r="R31" s="1">
        <v>0</v>
      </c>
      <c r="S31" s="1" t="s">
        <v>155</v>
      </c>
      <c r="T31" s="1">
        <v>2</v>
      </c>
      <c r="U31" s="31"/>
      <c r="AC31" s="31"/>
      <c r="AD31" s="1">
        <v>61</v>
      </c>
      <c r="AE31" s="1">
        <v>10.6</v>
      </c>
      <c r="AF31" s="35">
        <v>300</v>
      </c>
      <c r="AG31" s="35">
        <v>7</v>
      </c>
      <c r="AH31" s="35">
        <v>3</v>
      </c>
      <c r="AI31" s="1">
        <v>9</v>
      </c>
      <c r="AJ31" s="35" t="s">
        <v>180</v>
      </c>
      <c r="AK31" s="1">
        <v>9</v>
      </c>
      <c r="AM31" s="1">
        <v>4</v>
      </c>
      <c r="AN31" s="43" t="s">
        <v>299</v>
      </c>
      <c r="AO31" s="60" t="s">
        <v>157</v>
      </c>
      <c r="AP31" s="35">
        <v>3</v>
      </c>
    </row>
    <row r="32" spans="1:72">
      <c r="A32" s="1">
        <v>8</v>
      </c>
      <c r="B32" s="1" t="s">
        <v>227</v>
      </c>
      <c r="C32" s="1" t="s">
        <v>179</v>
      </c>
      <c r="D32" s="1">
        <v>172176245</v>
      </c>
      <c r="E32" s="1" t="s">
        <v>206</v>
      </c>
      <c r="F32" s="45" t="s">
        <v>105</v>
      </c>
      <c r="G32" s="1">
        <v>2</v>
      </c>
      <c r="H32" s="1" t="s">
        <v>220</v>
      </c>
      <c r="I32" s="1" t="s">
        <v>155</v>
      </c>
      <c r="J32" s="1" t="s">
        <v>232</v>
      </c>
      <c r="K32" s="1" t="s">
        <v>189</v>
      </c>
      <c r="N32" s="34">
        <v>4</v>
      </c>
      <c r="O32" s="1">
        <v>0</v>
      </c>
      <c r="P32" s="1">
        <v>0</v>
      </c>
      <c r="Q32" s="1">
        <v>1</v>
      </c>
      <c r="R32" s="1">
        <v>1</v>
      </c>
      <c r="S32" s="1" t="s">
        <v>179</v>
      </c>
      <c r="T32" s="1">
        <v>1</v>
      </c>
      <c r="U32" s="45">
        <v>3</v>
      </c>
      <c r="AC32" s="31"/>
      <c r="AD32" s="1">
        <v>81</v>
      </c>
      <c r="AE32" s="1">
        <v>21.8</v>
      </c>
      <c r="AF32" s="35">
        <v>300</v>
      </c>
      <c r="AG32" s="35">
        <v>7</v>
      </c>
      <c r="AH32" s="35">
        <v>3</v>
      </c>
      <c r="AI32" s="1">
        <v>9</v>
      </c>
      <c r="AJ32" s="35" t="s">
        <v>180</v>
      </c>
      <c r="AK32" s="1">
        <v>15</v>
      </c>
      <c r="AN32" s="32"/>
      <c r="AO32" s="60" t="s">
        <v>203</v>
      </c>
      <c r="AP32" s="35">
        <v>3</v>
      </c>
    </row>
    <row r="33" spans="1:72">
      <c r="A33" s="36">
        <v>9</v>
      </c>
      <c r="B33" s="36" t="s">
        <v>227</v>
      </c>
      <c r="C33" s="36" t="s">
        <v>179</v>
      </c>
      <c r="D33" s="36">
        <v>281191238</v>
      </c>
      <c r="E33" s="36" t="s">
        <v>206</v>
      </c>
      <c r="F33" s="58" t="s">
        <v>105</v>
      </c>
      <c r="G33" s="36">
        <v>2</v>
      </c>
      <c r="H33" s="36" t="s">
        <v>220</v>
      </c>
      <c r="I33" s="36" t="s">
        <v>155</v>
      </c>
      <c r="J33" s="36" t="s">
        <v>232</v>
      </c>
      <c r="K33" s="36" t="s">
        <v>189</v>
      </c>
      <c r="L33" s="37"/>
      <c r="M33" s="37"/>
      <c r="N33" s="55">
        <v>4</v>
      </c>
      <c r="O33" s="36">
        <v>0</v>
      </c>
      <c r="P33" s="36">
        <v>0</v>
      </c>
      <c r="Q33" s="36">
        <v>1</v>
      </c>
      <c r="R33" s="36">
        <v>1</v>
      </c>
      <c r="S33" s="36" t="s">
        <v>179</v>
      </c>
      <c r="T33" s="36">
        <v>1</v>
      </c>
      <c r="U33" s="58">
        <v>3</v>
      </c>
      <c r="V33" s="37"/>
      <c r="W33" s="37"/>
      <c r="X33" s="37"/>
      <c r="Y33" s="37"/>
      <c r="Z33" s="37"/>
      <c r="AA33" s="37"/>
      <c r="AB33" s="37"/>
      <c r="AC33" s="39"/>
      <c r="AD33" s="36">
        <v>77</v>
      </c>
      <c r="AE33" s="36">
        <v>24.9</v>
      </c>
      <c r="AF33" s="40">
        <v>300</v>
      </c>
      <c r="AG33" s="40">
        <v>7</v>
      </c>
      <c r="AH33" s="40">
        <v>3</v>
      </c>
      <c r="AI33" s="36">
        <v>1010</v>
      </c>
      <c r="AJ33" s="40" t="s">
        <v>180</v>
      </c>
      <c r="AK33" s="36">
        <v>15</v>
      </c>
      <c r="AL33" s="37"/>
      <c r="AM33" s="37"/>
      <c r="AN33" s="41"/>
      <c r="AO33" s="61">
        <v>1</v>
      </c>
      <c r="AP33" s="40">
        <v>3</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10</v>
      </c>
      <c r="B34" s="1" t="s">
        <v>227</v>
      </c>
      <c r="C34" s="1" t="s">
        <v>157</v>
      </c>
      <c r="D34" s="1">
        <v>287076660</v>
      </c>
      <c r="E34" s="1" t="s">
        <v>228</v>
      </c>
      <c r="F34" s="45" t="s">
        <v>120</v>
      </c>
      <c r="G34" s="1">
        <v>1</v>
      </c>
      <c r="H34" s="1" t="s">
        <v>155</v>
      </c>
      <c r="I34" s="1" t="s">
        <v>22</v>
      </c>
      <c r="J34" s="1" t="s">
        <v>176</v>
      </c>
      <c r="K34" s="1" t="s">
        <v>177</v>
      </c>
      <c r="L34" s="1" t="s">
        <v>178</v>
      </c>
      <c r="M34" s="1" t="s">
        <v>22</v>
      </c>
      <c r="N34" s="34">
        <v>6</v>
      </c>
      <c r="O34" s="1">
        <v>0</v>
      </c>
      <c r="P34" s="1">
        <v>2</v>
      </c>
      <c r="Q34" s="1">
        <v>0</v>
      </c>
      <c r="R34" s="1">
        <v>0</v>
      </c>
      <c r="S34" s="1" t="s">
        <v>179</v>
      </c>
      <c r="T34" s="1">
        <v>3</v>
      </c>
      <c r="U34" s="31"/>
      <c r="AC34" s="31"/>
      <c r="AD34" s="1">
        <v>54</v>
      </c>
      <c r="AE34" s="1">
        <v>9.1</v>
      </c>
      <c r="AF34" s="35">
        <v>300</v>
      </c>
      <c r="AG34" s="35">
        <v>7</v>
      </c>
      <c r="AH34" s="35">
        <v>3</v>
      </c>
      <c r="AI34" s="1">
        <v>1040</v>
      </c>
      <c r="AJ34" s="35" t="s">
        <v>180</v>
      </c>
      <c r="AK34" s="1">
        <v>6</v>
      </c>
      <c r="AN34" s="32"/>
      <c r="AO34" s="60" t="s">
        <v>157</v>
      </c>
      <c r="AP34" s="35">
        <v>3</v>
      </c>
    </row>
    <row r="35" spans="1:72">
      <c r="A35" s="11">
        <v>11</v>
      </c>
      <c r="B35" s="11" t="s">
        <v>227</v>
      </c>
      <c r="C35" s="11" t="s">
        <v>157</v>
      </c>
      <c r="D35" s="11">
        <v>284111513</v>
      </c>
      <c r="E35" s="11" t="s">
        <v>181</v>
      </c>
      <c r="F35" s="59" t="s">
        <v>115</v>
      </c>
      <c r="G35" s="11">
        <v>1</v>
      </c>
      <c r="H35" s="11" t="s">
        <v>155</v>
      </c>
      <c r="I35" s="11" t="s">
        <v>22</v>
      </c>
      <c r="J35" s="11" t="s">
        <v>176</v>
      </c>
      <c r="K35" s="11" t="s">
        <v>177</v>
      </c>
      <c r="L35" s="11" t="s">
        <v>178</v>
      </c>
      <c r="M35" s="11" t="s">
        <v>22</v>
      </c>
      <c r="N35" s="56">
        <v>6</v>
      </c>
      <c r="O35" s="11">
        <v>0</v>
      </c>
      <c r="P35" s="11">
        <v>4</v>
      </c>
      <c r="Q35" s="11">
        <v>0</v>
      </c>
      <c r="R35" s="11">
        <v>0</v>
      </c>
      <c r="S35" s="11" t="s">
        <v>270</v>
      </c>
      <c r="T35" s="11">
        <v>3</v>
      </c>
      <c r="U35" s="49"/>
      <c r="V35" s="12"/>
      <c r="W35" s="12"/>
      <c r="X35" s="12"/>
      <c r="Y35" s="12"/>
      <c r="Z35" s="12"/>
      <c r="AA35" s="12"/>
      <c r="AB35" s="12"/>
      <c r="AC35" s="49"/>
      <c r="AD35" s="11">
        <v>81</v>
      </c>
      <c r="AE35" s="11">
        <v>31.7</v>
      </c>
      <c r="AF35" s="50">
        <v>300</v>
      </c>
      <c r="AG35" s="50">
        <v>7</v>
      </c>
      <c r="AH35" s="50">
        <v>3</v>
      </c>
      <c r="AI35" s="11">
        <v>1120</v>
      </c>
      <c r="AJ35" s="50" t="s">
        <v>180</v>
      </c>
      <c r="AK35" s="11">
        <v>14</v>
      </c>
      <c r="AL35" s="12"/>
      <c r="AM35" s="11">
        <v>5</v>
      </c>
      <c r="AN35" s="54" t="s">
        <v>300</v>
      </c>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172176244</v>
      </c>
      <c r="E36" s="1" t="s">
        <v>175</v>
      </c>
      <c r="F36" s="45" t="s">
        <v>114</v>
      </c>
      <c r="G36" s="1">
        <v>6</v>
      </c>
      <c r="H36" s="1" t="s">
        <v>22</v>
      </c>
      <c r="J36" s="1" t="s">
        <v>188</v>
      </c>
      <c r="K36" s="1" t="s">
        <v>186</v>
      </c>
      <c r="L36" s="1" t="s">
        <v>1</v>
      </c>
      <c r="N36" s="30"/>
      <c r="O36" s="1">
        <v>2</v>
      </c>
      <c r="P36" s="1">
        <v>0</v>
      </c>
      <c r="Q36" s="1">
        <v>0</v>
      </c>
      <c r="S36" s="1" t="s">
        <v>179</v>
      </c>
      <c r="U36" s="31"/>
      <c r="V36" s="1" t="s">
        <v>178</v>
      </c>
      <c r="W36" s="1" t="s">
        <v>178</v>
      </c>
      <c r="AA36" s="1" t="s">
        <v>178</v>
      </c>
      <c r="AC36" s="31"/>
      <c r="AD36" s="1">
        <v>68</v>
      </c>
      <c r="AE36" s="1">
        <v>23.5</v>
      </c>
      <c r="AF36" s="1">
        <v>300</v>
      </c>
      <c r="AG36" s="35">
        <v>7</v>
      </c>
      <c r="AH36" s="35">
        <v>3</v>
      </c>
      <c r="AI36" s="1">
        <v>6</v>
      </c>
      <c r="AJ36" s="35" t="s">
        <v>180</v>
      </c>
      <c r="AK36" s="1">
        <v>20</v>
      </c>
      <c r="AM36" s="1">
        <v>1</v>
      </c>
      <c r="AN36" s="43" t="s">
        <v>301</v>
      </c>
      <c r="AO36" s="60" t="s">
        <v>203</v>
      </c>
      <c r="AP36" s="1">
        <v>4</v>
      </c>
    </row>
    <row r="37" spans="1:72">
      <c r="A37" s="1">
        <v>2</v>
      </c>
      <c r="B37" s="1" t="s">
        <v>216</v>
      </c>
      <c r="C37" s="1" t="s">
        <v>157</v>
      </c>
      <c r="D37" s="1">
        <v>283105242</v>
      </c>
      <c r="E37" s="1" t="s">
        <v>194</v>
      </c>
      <c r="F37" s="45" t="s">
        <v>98</v>
      </c>
      <c r="G37" s="1">
        <v>1</v>
      </c>
      <c r="H37" s="1" t="s">
        <v>22</v>
      </c>
      <c r="J37" s="1" t="s">
        <v>278</v>
      </c>
      <c r="K37" s="1" t="s">
        <v>177</v>
      </c>
      <c r="L37" s="1" t="s">
        <v>178</v>
      </c>
      <c r="N37" s="30"/>
      <c r="O37" s="1">
        <v>0</v>
      </c>
      <c r="P37" s="1">
        <v>3</v>
      </c>
      <c r="Q37" s="1">
        <v>1</v>
      </c>
      <c r="R37" s="1">
        <v>0</v>
      </c>
      <c r="S37" s="1" t="s">
        <v>179</v>
      </c>
      <c r="T37" s="1">
        <v>3</v>
      </c>
      <c r="U37" s="31"/>
      <c r="AC37" s="31"/>
      <c r="AD37" s="1">
        <v>93</v>
      </c>
      <c r="AE37" s="1">
        <v>33.6</v>
      </c>
      <c r="AF37" s="1">
        <v>300</v>
      </c>
      <c r="AG37" s="35">
        <v>7</v>
      </c>
      <c r="AH37" s="35">
        <v>3</v>
      </c>
      <c r="AI37" s="1">
        <v>630</v>
      </c>
      <c r="AJ37" s="35" t="s">
        <v>180</v>
      </c>
      <c r="AK37" s="1">
        <v>9</v>
      </c>
      <c r="AM37" s="1">
        <v>2</v>
      </c>
      <c r="AN37" s="43" t="s">
        <v>302</v>
      </c>
      <c r="AO37" s="60" t="s">
        <v>157</v>
      </c>
      <c r="AP37" s="1">
        <v>4</v>
      </c>
    </row>
    <row r="38" spans="1:72">
      <c r="A38" s="36">
        <v>3</v>
      </c>
      <c r="B38" s="36" t="s">
        <v>216</v>
      </c>
      <c r="C38" s="36" t="s">
        <v>179</v>
      </c>
      <c r="D38" s="36">
        <v>288029959</v>
      </c>
      <c r="E38" s="36" t="s">
        <v>238</v>
      </c>
      <c r="F38" s="58" t="s">
        <v>87</v>
      </c>
      <c r="G38" s="36">
        <v>2</v>
      </c>
      <c r="H38" s="36" t="s">
        <v>22</v>
      </c>
      <c r="I38" s="36" t="s">
        <v>155</v>
      </c>
      <c r="J38" s="36" t="s">
        <v>232</v>
      </c>
      <c r="K38" s="36" t="s">
        <v>189</v>
      </c>
      <c r="L38" s="37"/>
      <c r="M38" s="37"/>
      <c r="N38" s="55">
        <v>3</v>
      </c>
      <c r="O38" s="37"/>
      <c r="P38" s="37"/>
      <c r="Q38" s="37"/>
      <c r="R38" s="37"/>
      <c r="S38" s="37"/>
      <c r="T38" s="36">
        <v>0</v>
      </c>
      <c r="U38" s="39"/>
      <c r="V38" s="37"/>
      <c r="W38" s="37"/>
      <c r="X38" s="36" t="s">
        <v>183</v>
      </c>
      <c r="Y38" s="36" t="s">
        <v>183</v>
      </c>
      <c r="Z38" s="37"/>
      <c r="AA38" s="36" t="s">
        <v>183</v>
      </c>
      <c r="AB38" s="37"/>
      <c r="AC38" s="39"/>
      <c r="AD38" s="36">
        <v>62</v>
      </c>
      <c r="AE38" s="36">
        <v>10.3</v>
      </c>
      <c r="AF38" s="36">
        <v>300</v>
      </c>
      <c r="AG38" s="40">
        <v>7</v>
      </c>
      <c r="AH38" s="40">
        <v>3</v>
      </c>
      <c r="AI38" s="36">
        <v>710</v>
      </c>
      <c r="AJ38" s="40" t="s">
        <v>180</v>
      </c>
      <c r="AK38" s="36">
        <v>9</v>
      </c>
      <c r="AL38" s="37"/>
      <c r="AM38" s="37"/>
      <c r="AN38" s="41"/>
      <c r="AO38" s="42">
        <v>0</v>
      </c>
      <c r="AP38" s="36">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1">
        <v>4</v>
      </c>
      <c r="B39" s="11" t="s">
        <v>216</v>
      </c>
      <c r="C39" s="11" t="s">
        <v>179</v>
      </c>
      <c r="D39" s="11">
        <v>290077840</v>
      </c>
      <c r="E39" s="11" t="s">
        <v>225</v>
      </c>
      <c r="F39" s="59" t="s">
        <v>122</v>
      </c>
      <c r="G39" s="11">
        <v>1</v>
      </c>
      <c r="H39" s="11" t="s">
        <v>178</v>
      </c>
      <c r="I39" s="11" t="s">
        <v>22</v>
      </c>
      <c r="J39" s="11" t="s">
        <v>176</v>
      </c>
      <c r="K39" s="11" t="s">
        <v>177</v>
      </c>
      <c r="L39" s="11" t="s">
        <v>22</v>
      </c>
      <c r="M39" s="11" t="s">
        <v>178</v>
      </c>
      <c r="N39" s="48"/>
      <c r="O39" s="11">
        <v>0</v>
      </c>
      <c r="P39" s="11">
        <v>3</v>
      </c>
      <c r="Q39" s="11">
        <v>1</v>
      </c>
      <c r="R39" s="11">
        <v>0</v>
      </c>
      <c r="S39" s="11" t="s">
        <v>179</v>
      </c>
      <c r="T39" s="11">
        <v>3</v>
      </c>
      <c r="U39" s="49"/>
      <c r="V39" s="12"/>
      <c r="W39" s="12"/>
      <c r="X39" s="12"/>
      <c r="Y39" s="12"/>
      <c r="Z39" s="12"/>
      <c r="AA39" s="12"/>
      <c r="AB39" s="12"/>
      <c r="AC39" s="49"/>
      <c r="AD39" s="11">
        <v>52</v>
      </c>
      <c r="AE39" s="11">
        <v>9.1</v>
      </c>
      <c r="AF39" s="11">
        <v>300</v>
      </c>
      <c r="AG39" s="50">
        <v>7</v>
      </c>
      <c r="AH39" s="50">
        <v>3</v>
      </c>
      <c r="AI39" s="11">
        <v>740</v>
      </c>
      <c r="AJ39" s="50" t="s">
        <v>180</v>
      </c>
      <c r="AK39" s="11">
        <v>21</v>
      </c>
      <c r="AL39" s="12"/>
      <c r="AM39" s="11">
        <v>3</v>
      </c>
      <c r="AN39" s="54" t="s">
        <v>303</v>
      </c>
      <c r="AO39" s="52" t="s">
        <v>215</v>
      </c>
      <c r="AP39" s="11">
        <v>4</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N40" s="30"/>
      <c r="U40" s="31"/>
      <c r="AC40" s="31"/>
      <c r="AN40" s="32"/>
      <c r="AO40" s="57"/>
    </row>
    <row r="41" spans="1:72">
      <c r="F41" s="31"/>
      <c r="N41" s="30"/>
      <c r="U41" s="31"/>
      <c r="AC41" s="31"/>
      <c r="AN41" s="32"/>
      <c r="AO41" s="57"/>
    </row>
    <row r="42" spans="1:72">
      <c r="F42" s="31"/>
      <c r="N42" s="30"/>
      <c r="U42" s="31"/>
      <c r="AC42" s="31"/>
      <c r="AN42" s="32"/>
      <c r="AO42" s="57"/>
    </row>
    <row r="43" spans="1:72">
      <c r="F43" s="31"/>
      <c r="N43" s="30"/>
      <c r="U43" s="31"/>
      <c r="AC43" s="31"/>
      <c r="AN43" s="32"/>
      <c r="AO43" s="57"/>
    </row>
    <row r="44" spans="1:72">
      <c r="F44" s="31"/>
      <c r="N44" s="30"/>
      <c r="U44" s="31"/>
      <c r="AC44" s="31"/>
      <c r="AN44" s="32"/>
      <c r="AO44" s="57"/>
    </row>
    <row r="45" spans="1:72">
      <c r="F45" s="31"/>
      <c r="N45" s="30"/>
      <c r="U45" s="31"/>
      <c r="AC45" s="31"/>
      <c r="AN45" s="32"/>
      <c r="AO45" s="57"/>
    </row>
    <row r="46" spans="1:72">
      <c r="F46" s="31"/>
      <c r="N46" s="30"/>
      <c r="U46" s="31"/>
      <c r="AC46" s="31"/>
      <c r="AN46" s="32"/>
      <c r="AO46" s="57"/>
    </row>
    <row r="47" spans="1:72">
      <c r="F47" s="31"/>
      <c r="N47" s="30"/>
      <c r="U47" s="31"/>
      <c r="AC47" s="31"/>
      <c r="AN47" s="32"/>
      <c r="AO47" s="57"/>
    </row>
    <row r="48" spans="1:72">
      <c r="F48" s="31"/>
      <c r="N48" s="30"/>
      <c r="U48" s="31"/>
      <c r="AC48" s="31"/>
      <c r="AN48" s="32"/>
      <c r="AO48" s="57"/>
    </row>
    <row r="49" spans="6:41">
      <c r="F49" s="31"/>
      <c r="N49" s="30"/>
      <c r="U49" s="31"/>
      <c r="AC49" s="31"/>
      <c r="AN49" s="32"/>
      <c r="AO49" s="57"/>
    </row>
    <row r="50" spans="6:41">
      <c r="F50" s="31"/>
      <c r="N50" s="30"/>
      <c r="U50" s="31"/>
      <c r="AC50" s="31"/>
      <c r="AN50" s="32"/>
      <c r="AO50" s="57"/>
    </row>
    <row r="51" spans="6:41">
      <c r="F51" s="31"/>
      <c r="N51" s="30"/>
      <c r="U51" s="31"/>
      <c r="AC51" s="31"/>
      <c r="AN51" s="32"/>
      <c r="AO51" s="57"/>
    </row>
    <row r="52" spans="6:41">
      <c r="F52" s="31"/>
      <c r="N52" s="30"/>
      <c r="U52" s="31"/>
      <c r="AC52" s="31"/>
      <c r="AN52" s="32"/>
      <c r="AO52" s="57"/>
    </row>
    <row r="53" spans="6:41">
      <c r="F53" s="31"/>
      <c r="N53" s="30"/>
      <c r="U53" s="31"/>
      <c r="AC53" s="31"/>
      <c r="AN53" s="32"/>
      <c r="AO53" s="57"/>
    </row>
    <row r="54" spans="6:41">
      <c r="F54" s="31"/>
      <c r="N54" s="30"/>
      <c r="U54" s="31"/>
      <c r="AC54" s="31"/>
      <c r="AN54" s="32"/>
      <c r="AO54" s="57"/>
    </row>
    <row r="55" spans="6:41">
      <c r="F55" s="31"/>
      <c r="N55" s="30"/>
      <c r="U55" s="31"/>
      <c r="AC55" s="31"/>
      <c r="AN55" s="32"/>
      <c r="AO55" s="57"/>
    </row>
    <row r="56" spans="6:41">
      <c r="F56" s="31"/>
      <c r="N56" s="30"/>
      <c r="U56" s="31"/>
      <c r="AC56" s="31"/>
      <c r="AN56" s="32"/>
      <c r="AO56" s="57"/>
    </row>
    <row r="57" spans="6:41">
      <c r="F57" s="31"/>
      <c r="N57" s="30"/>
      <c r="U57" s="31"/>
      <c r="AC57" s="31"/>
      <c r="AN57" s="32"/>
      <c r="AO57" s="57"/>
    </row>
    <row r="58" spans="6:41">
      <c r="F58" s="31"/>
      <c r="N58" s="30"/>
      <c r="U58" s="31"/>
      <c r="AC58" s="31"/>
      <c r="AN58" s="32"/>
      <c r="AO58" s="57"/>
    </row>
    <row r="59" spans="6:41">
      <c r="F59" s="31"/>
      <c r="N59" s="30"/>
      <c r="U59" s="31"/>
      <c r="AC59" s="31"/>
      <c r="AN59" s="32"/>
      <c r="AO59" s="57"/>
    </row>
    <row r="60" spans="6:41">
      <c r="F60" s="31"/>
      <c r="N60" s="30"/>
      <c r="U60" s="31"/>
      <c r="AC60" s="31"/>
      <c r="AN60" s="32"/>
      <c r="AO60" s="57"/>
    </row>
    <row r="61" spans="6:41">
      <c r="F61" s="31"/>
      <c r="N61" s="30"/>
      <c r="U61" s="31"/>
      <c r="AC61" s="31"/>
      <c r="AN61" s="32"/>
      <c r="AO61" s="57"/>
    </row>
    <row r="62" spans="6:41">
      <c r="F62" s="31"/>
      <c r="N62" s="30"/>
      <c r="U62" s="31"/>
      <c r="AC62" s="31"/>
      <c r="AN62" s="32"/>
      <c r="AO62" s="57"/>
    </row>
    <row r="63" spans="6:41">
      <c r="F63" s="31"/>
      <c r="N63" s="30"/>
      <c r="U63" s="31"/>
      <c r="AC63" s="31"/>
      <c r="AN63" s="32"/>
      <c r="AO63" s="57"/>
    </row>
    <row r="64" spans="6:41">
      <c r="F64" s="31"/>
      <c r="N64" s="30"/>
      <c r="U64" s="31"/>
      <c r="AC64" s="31"/>
      <c r="AN64" s="32"/>
      <c r="AO64" s="57"/>
    </row>
    <row r="65" spans="6:41">
      <c r="F65" s="31"/>
      <c r="N65" s="30"/>
      <c r="U65" s="31"/>
      <c r="AC65" s="31"/>
      <c r="AN65" s="32"/>
      <c r="AO65" s="57"/>
    </row>
    <row r="66" spans="6:41">
      <c r="F66" s="31"/>
      <c r="N66" s="30"/>
      <c r="U66" s="31"/>
      <c r="AC66" s="31"/>
      <c r="AN66" s="32"/>
      <c r="AO66" s="57"/>
    </row>
    <row r="67" spans="6:41">
      <c r="F67" s="31"/>
      <c r="N67" s="30"/>
      <c r="U67" s="31"/>
      <c r="AC67" s="31"/>
      <c r="AN67" s="32"/>
      <c r="AO67" s="57"/>
    </row>
    <row r="68" spans="6:41">
      <c r="F68" s="31"/>
      <c r="N68" s="30"/>
      <c r="U68" s="31"/>
      <c r="AC68" s="31"/>
      <c r="AN68" s="32"/>
      <c r="AO68" s="57"/>
    </row>
    <row r="69" spans="6:41">
      <c r="F69" s="31"/>
      <c r="N69" s="30"/>
      <c r="U69" s="31"/>
      <c r="AC69" s="31"/>
      <c r="AN69" s="32"/>
      <c r="AO69" s="57"/>
    </row>
    <row r="70" spans="6:41">
      <c r="F70" s="31"/>
      <c r="N70" s="30"/>
      <c r="U70" s="31"/>
      <c r="AC70" s="31"/>
      <c r="AN70" s="32"/>
      <c r="AO70" s="57"/>
    </row>
    <row r="71" spans="6:41">
      <c r="F71" s="31"/>
      <c r="N71" s="30"/>
      <c r="U71" s="31"/>
      <c r="AC71" s="31"/>
      <c r="AN71" s="32"/>
      <c r="AO71" s="57"/>
    </row>
    <row r="72" spans="6:41">
      <c r="F72" s="31"/>
      <c r="N72" s="30"/>
      <c r="U72" s="31"/>
      <c r="AC72" s="31"/>
      <c r="AN72" s="32"/>
      <c r="AO72" s="57"/>
    </row>
    <row r="73" spans="6:41">
      <c r="F73" s="31"/>
      <c r="N73" s="30"/>
      <c r="U73" s="31"/>
      <c r="AC73" s="31"/>
      <c r="AN73" s="32"/>
      <c r="AO73" s="57"/>
    </row>
    <row r="74" spans="6:41">
      <c r="F74" s="31"/>
      <c r="N74" s="30"/>
      <c r="U74" s="31"/>
      <c r="AC74" s="31"/>
      <c r="AN74" s="32"/>
      <c r="AO74" s="57"/>
    </row>
    <row r="75" spans="6:41">
      <c r="F75" s="31"/>
      <c r="N75" s="30"/>
      <c r="U75" s="31"/>
      <c r="AC75" s="31"/>
      <c r="AN75" s="32"/>
      <c r="AO75" s="57"/>
    </row>
    <row r="76" spans="6:41">
      <c r="F76" s="31"/>
      <c r="N76" s="30"/>
      <c r="U76" s="31"/>
      <c r="AC76" s="31"/>
      <c r="AN76" s="32"/>
      <c r="AO76" s="57"/>
    </row>
    <row r="77" spans="6:41">
      <c r="F77" s="31"/>
      <c r="N77" s="30"/>
      <c r="U77" s="31"/>
      <c r="AC77" s="31"/>
      <c r="AN77" s="32"/>
      <c r="AO77" s="57"/>
    </row>
    <row r="78" spans="6:41">
      <c r="F78" s="31"/>
      <c r="N78" s="30"/>
      <c r="U78" s="31"/>
      <c r="AC78" s="31"/>
      <c r="AN78" s="32"/>
      <c r="AO78" s="57"/>
    </row>
    <row r="79" spans="6:41">
      <c r="F79" s="31"/>
      <c r="N79" s="30"/>
      <c r="U79" s="31"/>
      <c r="AC79" s="31"/>
      <c r="AN79" s="32"/>
      <c r="AO79" s="57"/>
    </row>
    <row r="80" spans="6:41">
      <c r="F80" s="31"/>
      <c r="N80" s="30"/>
      <c r="U80" s="31"/>
      <c r="AC80" s="31"/>
      <c r="AN80" s="32"/>
      <c r="AO80" s="57"/>
    </row>
    <row r="81" spans="6:41">
      <c r="F81" s="31"/>
      <c r="N81" s="30"/>
      <c r="U81" s="31"/>
      <c r="AC81" s="31"/>
      <c r="AN81" s="32"/>
      <c r="AO81" s="57"/>
    </row>
    <row r="82" spans="6:41">
      <c r="F82" s="31"/>
      <c r="N82" s="30"/>
      <c r="U82" s="31"/>
      <c r="AC82" s="31"/>
      <c r="AN82" s="32"/>
      <c r="AO82" s="57"/>
    </row>
    <row r="83" spans="6:41">
      <c r="F83" s="31"/>
      <c r="N83" s="30"/>
      <c r="U83" s="31"/>
      <c r="AC83" s="31"/>
      <c r="AN83" s="32"/>
      <c r="AO83" s="57"/>
    </row>
    <row r="84" spans="6:41">
      <c r="F84" s="31"/>
      <c r="N84" s="30"/>
      <c r="U84" s="31"/>
      <c r="AC84" s="31"/>
      <c r="AN84" s="32"/>
      <c r="AO84" s="57"/>
    </row>
    <row r="85" spans="6:41">
      <c r="F85" s="31"/>
      <c r="N85" s="30"/>
      <c r="U85" s="31"/>
      <c r="AC85" s="31"/>
      <c r="AN85" s="32"/>
      <c r="AO85" s="57"/>
    </row>
    <row r="86" spans="6:41">
      <c r="F86" s="31"/>
      <c r="N86" s="30"/>
      <c r="U86" s="31"/>
      <c r="AC86" s="31"/>
      <c r="AN86" s="32"/>
      <c r="AO86" s="57"/>
    </row>
    <row r="87" spans="6:41">
      <c r="F87" s="31"/>
      <c r="N87" s="30"/>
      <c r="U87" s="31"/>
      <c r="AC87" s="31"/>
      <c r="AN87" s="32"/>
      <c r="AO87" s="57"/>
    </row>
    <row r="88" spans="6:41">
      <c r="F88" s="31"/>
      <c r="N88" s="30"/>
      <c r="U88" s="31"/>
      <c r="AC88" s="31"/>
      <c r="AN88" s="32"/>
      <c r="AO88" s="57"/>
    </row>
    <row r="89" spans="6:41">
      <c r="F89" s="31"/>
      <c r="N89" s="30"/>
      <c r="U89" s="31"/>
      <c r="AC89" s="31"/>
      <c r="AN89" s="32"/>
      <c r="AO89" s="57"/>
    </row>
    <row r="90" spans="6:41">
      <c r="F90" s="31"/>
      <c r="N90" s="30"/>
      <c r="U90" s="31"/>
      <c r="AC90" s="31"/>
      <c r="AN90" s="32"/>
      <c r="AO90" s="57"/>
    </row>
    <row r="91" spans="6:41">
      <c r="F91" s="31"/>
      <c r="N91" s="30"/>
      <c r="U91" s="31"/>
      <c r="AC91" s="31"/>
      <c r="AN91" s="32"/>
      <c r="AO91" s="57"/>
    </row>
    <row r="92" spans="6:41">
      <c r="F92" s="31"/>
      <c r="N92" s="30"/>
      <c r="U92" s="31"/>
      <c r="AC92" s="31"/>
      <c r="AN92" s="32"/>
      <c r="AO92" s="57"/>
    </row>
    <row r="93" spans="6:41">
      <c r="F93" s="31"/>
      <c r="N93" s="30"/>
      <c r="U93" s="31"/>
      <c r="AC93" s="31"/>
      <c r="AN93" s="32"/>
      <c r="AO93" s="57"/>
    </row>
    <row r="94" spans="6:41">
      <c r="F94" s="31"/>
      <c r="N94" s="30"/>
      <c r="U94" s="31"/>
      <c r="AC94" s="31"/>
      <c r="AN94" s="32"/>
      <c r="AO94" s="57"/>
    </row>
    <row r="95" spans="6:41">
      <c r="F95" s="31"/>
      <c r="N95" s="30"/>
      <c r="U95" s="31"/>
      <c r="AC95" s="31"/>
      <c r="AN95" s="32"/>
      <c r="AO95" s="57"/>
    </row>
    <row r="96" spans="6:41">
      <c r="F96" s="31"/>
      <c r="N96" s="30"/>
      <c r="U96" s="31"/>
      <c r="AC96" s="31"/>
      <c r="AN96" s="32"/>
      <c r="AO96" s="57"/>
    </row>
    <row r="97" spans="6:41">
      <c r="F97" s="31"/>
      <c r="N97" s="30"/>
      <c r="U97" s="31"/>
      <c r="AC97" s="31"/>
      <c r="AN97" s="32"/>
      <c r="AO97" s="57"/>
    </row>
    <row r="98" spans="6:41">
      <c r="F98" s="31"/>
      <c r="N98" s="30"/>
      <c r="U98" s="31"/>
      <c r="AC98" s="31"/>
      <c r="AN98" s="32"/>
      <c r="AO98" s="57"/>
    </row>
    <row r="99" spans="6:41">
      <c r="F99" s="31"/>
      <c r="N99" s="30"/>
      <c r="U99" s="31"/>
      <c r="AC99" s="31"/>
      <c r="AN99" s="32"/>
      <c r="AO99" s="57"/>
    </row>
    <row r="100" spans="6:41">
      <c r="F100" s="31"/>
      <c r="N100" s="30"/>
      <c r="U100" s="31"/>
      <c r="AC100" s="31"/>
      <c r="AN100" s="32"/>
      <c r="AO100" s="57"/>
    </row>
    <row r="101" spans="6:41">
      <c r="F101" s="31"/>
      <c r="N101" s="30"/>
      <c r="U101" s="31"/>
      <c r="AC101" s="31"/>
      <c r="AN101" s="32"/>
      <c r="AO101" s="57"/>
    </row>
    <row r="102" spans="6:41">
      <c r="F102" s="31"/>
      <c r="N102" s="30"/>
      <c r="U102" s="31"/>
      <c r="AC102" s="31"/>
      <c r="AN102" s="32"/>
      <c r="AO102" s="57"/>
    </row>
    <row r="103" spans="6:41">
      <c r="F103" s="31"/>
      <c r="N103" s="30"/>
      <c r="U103" s="31"/>
      <c r="AC103" s="31"/>
      <c r="AN103" s="32"/>
      <c r="AO103" s="57"/>
    </row>
    <row r="104" spans="6:41">
      <c r="F104" s="31"/>
      <c r="N104" s="30"/>
      <c r="U104" s="31"/>
      <c r="AC104" s="31"/>
      <c r="AN104" s="32"/>
      <c r="AO104" s="57"/>
    </row>
    <row r="105" spans="6:41">
      <c r="F105" s="31"/>
      <c r="N105" s="30"/>
      <c r="U105" s="31"/>
      <c r="AC105" s="31"/>
      <c r="AN105" s="32"/>
      <c r="AO105" s="57"/>
    </row>
    <row r="106" spans="6:41">
      <c r="F106" s="31"/>
      <c r="N106" s="30"/>
      <c r="U106" s="31"/>
      <c r="AC106" s="31"/>
      <c r="AN106" s="32"/>
      <c r="AO106" s="57"/>
    </row>
    <row r="107" spans="6:41">
      <c r="F107" s="31"/>
      <c r="N107" s="30"/>
      <c r="U107" s="31"/>
      <c r="AC107" s="31"/>
      <c r="AN107" s="32"/>
      <c r="AO107" s="57"/>
    </row>
    <row r="108" spans="6:41">
      <c r="F108" s="31"/>
      <c r="N108" s="30"/>
      <c r="U108" s="31"/>
      <c r="AC108" s="31"/>
      <c r="AN108" s="32"/>
      <c r="AO108" s="57"/>
    </row>
    <row r="109" spans="6:41">
      <c r="F109" s="31"/>
      <c r="N109" s="30"/>
      <c r="U109" s="31"/>
      <c r="AC109" s="31"/>
      <c r="AN109" s="32"/>
      <c r="AO109" s="57"/>
    </row>
    <row r="110" spans="6:41">
      <c r="F110" s="31"/>
      <c r="N110" s="30"/>
      <c r="U110" s="31"/>
      <c r="AC110" s="31"/>
      <c r="AN110" s="32"/>
      <c r="AO110" s="57"/>
    </row>
    <row r="111" spans="6:41">
      <c r="F111" s="31"/>
      <c r="N111" s="30"/>
      <c r="U111" s="31"/>
      <c r="AC111" s="31"/>
      <c r="AN111" s="32"/>
      <c r="AO111" s="57"/>
    </row>
    <row r="112" spans="6:41">
      <c r="F112" s="31"/>
      <c r="N112" s="30"/>
      <c r="U112" s="31"/>
      <c r="AC112" s="31"/>
      <c r="AN112" s="32"/>
      <c r="AO112" s="57"/>
    </row>
    <row r="113" spans="6:41">
      <c r="F113" s="31"/>
      <c r="N113" s="30"/>
      <c r="U113" s="31"/>
      <c r="AC113" s="31"/>
      <c r="AN113" s="32"/>
      <c r="AO113" s="57"/>
    </row>
    <row r="114" spans="6:41">
      <c r="F114" s="31"/>
      <c r="N114" s="30"/>
      <c r="U114" s="31"/>
      <c r="AC114" s="31"/>
      <c r="AN114" s="32"/>
      <c r="AO114" s="57"/>
    </row>
    <row r="115" spans="6:41">
      <c r="F115" s="31"/>
      <c r="N115" s="30"/>
      <c r="U115" s="31"/>
      <c r="AC115" s="31"/>
      <c r="AN115" s="32"/>
      <c r="AO115" s="57"/>
    </row>
    <row r="116" spans="6:41">
      <c r="F116" s="31"/>
      <c r="N116" s="30"/>
      <c r="U116" s="31"/>
      <c r="AC116" s="31"/>
      <c r="AN116" s="32"/>
      <c r="AO116" s="57"/>
    </row>
    <row r="117" spans="6:41">
      <c r="F117" s="31"/>
      <c r="N117" s="30"/>
      <c r="U117" s="31"/>
      <c r="AC117" s="31"/>
      <c r="AN117" s="32"/>
      <c r="AO117" s="57"/>
    </row>
    <row r="118" spans="6:41">
      <c r="F118" s="31"/>
      <c r="N118" s="30"/>
      <c r="U118" s="31"/>
      <c r="AC118" s="31"/>
      <c r="AN118" s="32"/>
      <c r="AO118" s="57"/>
    </row>
    <row r="119" spans="6:41">
      <c r="F119" s="31"/>
      <c r="N119" s="30"/>
      <c r="U119" s="31"/>
      <c r="AC119" s="31"/>
      <c r="AN119" s="32"/>
      <c r="AO119" s="57"/>
    </row>
    <row r="120" spans="6:41">
      <c r="F120" s="31"/>
      <c r="N120" s="30"/>
      <c r="U120" s="31"/>
      <c r="AC120" s="31"/>
      <c r="AN120" s="32"/>
      <c r="AO120" s="57"/>
    </row>
    <row r="121" spans="6:41">
      <c r="F121" s="31"/>
      <c r="N121" s="30"/>
      <c r="U121" s="31"/>
      <c r="AC121" s="31"/>
      <c r="AN121" s="32"/>
      <c r="AO121" s="57"/>
    </row>
    <row r="122" spans="6:41">
      <c r="F122" s="31"/>
      <c r="N122" s="30"/>
      <c r="U122" s="31"/>
      <c r="AC122" s="31"/>
      <c r="AN122" s="32"/>
      <c r="AO122" s="57"/>
    </row>
    <row r="123" spans="6:41">
      <c r="F123" s="31"/>
      <c r="N123" s="30"/>
      <c r="U123" s="31"/>
      <c r="AC123" s="31"/>
      <c r="AN123" s="32"/>
      <c r="AO123" s="57"/>
    </row>
    <row r="124" spans="6:41">
      <c r="F124" s="31"/>
      <c r="N124" s="30"/>
      <c r="U124" s="31"/>
      <c r="AC124" s="31"/>
      <c r="AN124" s="32"/>
      <c r="AO124" s="57"/>
    </row>
    <row r="125" spans="6:41">
      <c r="F125" s="31"/>
      <c r="N125" s="30"/>
      <c r="U125" s="31"/>
      <c r="AC125" s="31"/>
      <c r="AN125" s="32"/>
      <c r="AO125" s="57"/>
    </row>
    <row r="126" spans="6:41">
      <c r="F126" s="31"/>
      <c r="N126" s="30"/>
      <c r="U126" s="31"/>
      <c r="AC126" s="31"/>
      <c r="AN126" s="32"/>
      <c r="AO126" s="57"/>
    </row>
    <row r="127" spans="6:41">
      <c r="F127" s="31"/>
      <c r="N127" s="30"/>
      <c r="U127" s="31"/>
      <c r="AC127" s="31"/>
      <c r="AN127" s="32"/>
      <c r="AO127" s="57"/>
    </row>
    <row r="128" spans="6:41">
      <c r="F128" s="31"/>
      <c r="N128" s="30"/>
      <c r="U128" s="31"/>
      <c r="AC128" s="31"/>
      <c r="AN128" s="32"/>
      <c r="AO128" s="57"/>
    </row>
    <row r="129" spans="6:41">
      <c r="F129" s="31"/>
      <c r="N129" s="30"/>
      <c r="U129" s="31"/>
      <c r="AC129" s="31"/>
      <c r="AN129" s="32"/>
      <c r="AO129" s="57"/>
    </row>
    <row r="130" spans="6:41">
      <c r="F130" s="31"/>
      <c r="N130" s="30"/>
      <c r="U130" s="31"/>
      <c r="AC130" s="31"/>
      <c r="AN130" s="32"/>
      <c r="AO130" s="57"/>
    </row>
    <row r="131" spans="6:41">
      <c r="F131" s="31"/>
      <c r="N131" s="30"/>
      <c r="U131" s="31"/>
      <c r="AC131" s="31"/>
      <c r="AN131" s="32"/>
      <c r="AO131" s="57"/>
    </row>
    <row r="132" spans="6:41">
      <c r="F132" s="31"/>
      <c r="N132" s="30"/>
      <c r="U132" s="31"/>
      <c r="AC132" s="31"/>
      <c r="AN132" s="32"/>
      <c r="AO132" s="57"/>
    </row>
    <row r="133" spans="6:41">
      <c r="F133" s="31"/>
      <c r="N133" s="30"/>
      <c r="U133" s="31"/>
      <c r="AC133" s="31"/>
      <c r="AN133" s="32"/>
      <c r="AO133" s="57"/>
    </row>
    <row r="134" spans="6:41">
      <c r="F134" s="31"/>
      <c r="N134" s="30"/>
      <c r="U134" s="31"/>
      <c r="AC134" s="31"/>
      <c r="AN134" s="32"/>
      <c r="AO134" s="57"/>
    </row>
    <row r="135" spans="6:41">
      <c r="F135" s="31"/>
      <c r="N135" s="30"/>
      <c r="U135" s="31"/>
      <c r="AC135" s="31"/>
      <c r="AN135" s="32"/>
      <c r="AO135" s="57"/>
    </row>
    <row r="136" spans="6:41">
      <c r="F136" s="31"/>
      <c r="N136" s="30"/>
      <c r="U136" s="31"/>
      <c r="AC136" s="31"/>
      <c r="AN136" s="32"/>
      <c r="AO136" s="57"/>
    </row>
    <row r="137" spans="6:41">
      <c r="F137" s="31"/>
      <c r="N137" s="30"/>
      <c r="U137" s="31"/>
      <c r="AC137" s="31"/>
      <c r="AN137" s="32"/>
      <c r="AO137" s="57"/>
    </row>
    <row r="138" spans="6:41">
      <c r="F138" s="31"/>
      <c r="N138" s="30"/>
      <c r="U138" s="31"/>
      <c r="AC138" s="31"/>
      <c r="AN138" s="32"/>
      <c r="AO138" s="57"/>
    </row>
    <row r="139" spans="6:41">
      <c r="F139" s="31"/>
      <c r="N139" s="30"/>
      <c r="U139" s="31"/>
      <c r="AC139" s="31"/>
      <c r="AN139" s="32"/>
      <c r="AO139" s="57"/>
    </row>
    <row r="140" spans="6:41">
      <c r="F140" s="31"/>
      <c r="N140" s="30"/>
      <c r="U140" s="31"/>
      <c r="AC140" s="31"/>
      <c r="AN140" s="32"/>
      <c r="AO140" s="57"/>
    </row>
    <row r="141" spans="6:41">
      <c r="F141" s="31"/>
      <c r="N141" s="30"/>
      <c r="U141" s="31"/>
      <c r="AC141" s="31"/>
      <c r="AN141" s="32"/>
      <c r="AO141" s="57"/>
    </row>
    <row r="142" spans="6:41">
      <c r="F142" s="31"/>
      <c r="N142" s="30"/>
      <c r="U142" s="31"/>
      <c r="AC142" s="31"/>
      <c r="AN142" s="32"/>
      <c r="AO142" s="57"/>
    </row>
    <row r="143" spans="6:41">
      <c r="F143" s="31"/>
      <c r="N143" s="30"/>
      <c r="U143" s="31"/>
      <c r="AC143" s="31"/>
      <c r="AN143" s="32"/>
      <c r="AO143" s="57"/>
    </row>
    <row r="144" spans="6:41">
      <c r="F144" s="31"/>
      <c r="N144" s="30"/>
      <c r="U144" s="31"/>
      <c r="AC144" s="31"/>
      <c r="AN144" s="32"/>
      <c r="AO144" s="57"/>
    </row>
    <row r="145" spans="6:41">
      <c r="F145" s="31"/>
      <c r="N145" s="30"/>
      <c r="U145" s="31"/>
      <c r="AC145" s="31"/>
      <c r="AN145" s="32"/>
      <c r="AO145" s="57"/>
    </row>
    <row r="146" spans="6:41">
      <c r="F146" s="31"/>
      <c r="N146" s="30"/>
      <c r="U146" s="31"/>
      <c r="AC146" s="31"/>
      <c r="AN146" s="32"/>
      <c r="AO146" s="57"/>
    </row>
    <row r="147" spans="6:41">
      <c r="F147" s="31"/>
      <c r="N147" s="30"/>
      <c r="U147" s="31"/>
      <c r="AC147" s="31"/>
      <c r="AN147" s="32"/>
      <c r="AO147" s="57"/>
    </row>
    <row r="148" spans="6:41">
      <c r="F148" s="31"/>
      <c r="N148" s="30"/>
      <c r="U148" s="31"/>
      <c r="AC148" s="31"/>
      <c r="AN148" s="32"/>
      <c r="AO148" s="57"/>
    </row>
    <row r="149" spans="6:41">
      <c r="F149" s="31"/>
      <c r="N149" s="30"/>
      <c r="U149" s="31"/>
      <c r="AC149" s="31"/>
      <c r="AN149" s="32"/>
      <c r="AO149" s="57"/>
    </row>
    <row r="150" spans="6:41">
      <c r="F150" s="31"/>
      <c r="N150" s="30"/>
      <c r="U150" s="31"/>
      <c r="AC150" s="31"/>
      <c r="AN150" s="32"/>
      <c r="AO150" s="57"/>
    </row>
    <row r="151" spans="6:41">
      <c r="F151" s="31"/>
      <c r="N151" s="30"/>
      <c r="U151" s="31"/>
      <c r="AC151" s="31"/>
      <c r="AN151" s="32"/>
      <c r="AO151" s="57"/>
    </row>
    <row r="152" spans="6:41">
      <c r="F152" s="31"/>
      <c r="N152" s="30"/>
      <c r="U152" s="31"/>
      <c r="AC152" s="31"/>
      <c r="AN152" s="32"/>
      <c r="AO152" s="57"/>
    </row>
    <row r="153" spans="6:41">
      <c r="F153" s="31"/>
      <c r="N153" s="30"/>
      <c r="U153" s="31"/>
      <c r="AC153" s="31"/>
      <c r="AN153" s="32"/>
      <c r="AO153" s="57"/>
    </row>
    <row r="154" spans="6:41">
      <c r="F154" s="31"/>
      <c r="N154" s="30"/>
      <c r="U154" s="31"/>
      <c r="AC154" s="31"/>
      <c r="AN154" s="32"/>
      <c r="AO154" s="57"/>
    </row>
    <row r="155" spans="6:41">
      <c r="F155" s="31"/>
      <c r="N155" s="30"/>
      <c r="U155" s="31"/>
      <c r="AC155" s="31"/>
      <c r="AN155" s="32"/>
      <c r="AO155" s="57"/>
    </row>
    <row r="156" spans="6:41">
      <c r="F156" s="31"/>
      <c r="N156" s="30"/>
      <c r="U156" s="31"/>
      <c r="AC156" s="31"/>
      <c r="AN156" s="32"/>
      <c r="AO156" s="57"/>
    </row>
    <row r="157" spans="6:41">
      <c r="F157" s="31"/>
      <c r="N157" s="30"/>
      <c r="U157" s="31"/>
      <c r="AC157" s="31"/>
      <c r="AN157" s="32"/>
      <c r="AO157" s="57"/>
    </row>
    <row r="158" spans="6:41">
      <c r="F158" s="31"/>
      <c r="N158" s="30"/>
      <c r="U158" s="31"/>
      <c r="AC158" s="31"/>
      <c r="AN158" s="32"/>
      <c r="AO158" s="57"/>
    </row>
    <row r="159" spans="6:41">
      <c r="F159" s="31"/>
      <c r="N159" s="30"/>
      <c r="U159" s="31"/>
      <c r="AC159" s="31"/>
      <c r="AN159" s="32"/>
      <c r="AO159" s="57"/>
    </row>
    <row r="160" spans="6:41">
      <c r="F160" s="31"/>
      <c r="N160" s="30"/>
      <c r="U160" s="31"/>
      <c r="AC160" s="31"/>
      <c r="AN160" s="32"/>
      <c r="AO160" s="57"/>
    </row>
    <row r="161" spans="6:41">
      <c r="F161" s="31"/>
      <c r="N161" s="30"/>
      <c r="U161" s="31"/>
      <c r="AC161" s="31"/>
      <c r="AN161" s="32"/>
      <c r="AO161" s="57"/>
    </row>
    <row r="162" spans="6:41">
      <c r="F162" s="31"/>
      <c r="N162" s="30"/>
      <c r="U162" s="31"/>
      <c r="AC162" s="31"/>
      <c r="AN162" s="32"/>
      <c r="AO162" s="57"/>
    </row>
    <row r="163" spans="6:41">
      <c r="F163" s="31"/>
      <c r="N163" s="30"/>
      <c r="U163" s="31"/>
      <c r="AC163" s="31"/>
      <c r="AN163" s="32"/>
      <c r="AO163" s="57"/>
    </row>
    <row r="164" spans="6:41">
      <c r="F164" s="31"/>
      <c r="N164" s="30"/>
      <c r="U164" s="31"/>
      <c r="AC164" s="31"/>
      <c r="AN164" s="32"/>
      <c r="AO164" s="57"/>
    </row>
    <row r="165" spans="6:41">
      <c r="F165" s="31"/>
      <c r="N165" s="30"/>
      <c r="U165" s="31"/>
      <c r="AC165" s="31"/>
      <c r="AN165" s="32"/>
      <c r="AO165" s="57"/>
    </row>
    <row r="166" spans="6:41">
      <c r="F166" s="31"/>
      <c r="N166" s="30"/>
      <c r="U166" s="31"/>
      <c r="AC166" s="31"/>
      <c r="AN166" s="32"/>
      <c r="AO166" s="57"/>
    </row>
    <row r="167" spans="6:41">
      <c r="F167" s="31"/>
      <c r="N167" s="30"/>
      <c r="U167" s="31"/>
      <c r="AC167" s="31"/>
      <c r="AN167" s="32"/>
      <c r="AO167" s="57"/>
    </row>
    <row r="168" spans="6:41">
      <c r="F168" s="31"/>
      <c r="N168" s="30"/>
      <c r="U168" s="31"/>
      <c r="AC168" s="31"/>
      <c r="AN168" s="32"/>
      <c r="AO168" s="57"/>
    </row>
    <row r="169" spans="6:41">
      <c r="F169" s="31"/>
      <c r="N169" s="30"/>
      <c r="U169" s="31"/>
      <c r="AC169" s="31"/>
      <c r="AN169" s="32"/>
      <c r="AO169" s="57"/>
    </row>
    <row r="170" spans="6:41">
      <c r="F170" s="31"/>
      <c r="N170" s="30"/>
      <c r="U170" s="31"/>
      <c r="AC170" s="31"/>
      <c r="AN170" s="32"/>
      <c r="AO170" s="57"/>
    </row>
    <row r="171" spans="6:41">
      <c r="F171" s="31"/>
      <c r="N171" s="30"/>
      <c r="U171" s="31"/>
      <c r="AC171" s="31"/>
      <c r="AN171" s="32"/>
      <c r="AO171" s="57"/>
    </row>
    <row r="172" spans="6:41">
      <c r="F172" s="31"/>
      <c r="N172" s="30"/>
      <c r="U172" s="31"/>
      <c r="AC172" s="31"/>
      <c r="AN172" s="32"/>
      <c r="AO172" s="57"/>
    </row>
    <row r="173" spans="6:41">
      <c r="F173" s="31"/>
      <c r="N173" s="30"/>
      <c r="U173" s="31"/>
      <c r="AC173" s="31"/>
      <c r="AN173" s="32"/>
      <c r="AO173" s="57"/>
    </row>
    <row r="174" spans="6:41">
      <c r="F174" s="31"/>
      <c r="N174" s="30"/>
      <c r="U174" s="31"/>
      <c r="AC174" s="31"/>
      <c r="AN174" s="32"/>
      <c r="AO174" s="57"/>
    </row>
    <row r="175" spans="6:41">
      <c r="F175" s="31"/>
      <c r="N175" s="30"/>
      <c r="U175" s="31"/>
      <c r="AC175" s="31"/>
      <c r="AN175" s="32"/>
      <c r="AO175" s="57"/>
    </row>
    <row r="176" spans="6:41">
      <c r="F176" s="31"/>
      <c r="N176" s="30"/>
      <c r="U176" s="31"/>
      <c r="AC176" s="31"/>
      <c r="AN176" s="32"/>
      <c r="AO176" s="57"/>
    </row>
    <row r="177" spans="6:41">
      <c r="F177" s="31"/>
      <c r="N177" s="30"/>
      <c r="U177" s="31"/>
      <c r="AC177" s="31"/>
      <c r="AN177" s="32"/>
      <c r="AO177" s="57"/>
    </row>
    <row r="178" spans="6:41">
      <c r="F178" s="31"/>
      <c r="N178" s="30"/>
      <c r="U178" s="31"/>
      <c r="AC178" s="31"/>
      <c r="AN178" s="32"/>
      <c r="AO178" s="57"/>
    </row>
    <row r="179" spans="6:41">
      <c r="F179" s="31"/>
      <c r="N179" s="30"/>
      <c r="U179" s="31"/>
      <c r="AC179" s="31"/>
      <c r="AN179" s="32"/>
      <c r="AO179" s="57"/>
    </row>
    <row r="180" spans="6:41">
      <c r="F180" s="31"/>
      <c r="N180" s="30"/>
      <c r="U180" s="31"/>
      <c r="AC180" s="31"/>
      <c r="AN180" s="32"/>
      <c r="AO180" s="57"/>
    </row>
    <row r="181" spans="6:41">
      <c r="F181" s="31"/>
      <c r="N181" s="30"/>
      <c r="U181" s="31"/>
      <c r="AC181" s="31"/>
      <c r="AN181" s="32"/>
      <c r="AO181" s="57"/>
    </row>
    <row r="182" spans="6:41">
      <c r="F182" s="31"/>
      <c r="N182" s="30"/>
      <c r="U182" s="31"/>
      <c r="AC182" s="31"/>
      <c r="AN182" s="32"/>
      <c r="AO182" s="57"/>
    </row>
    <row r="183" spans="6:41">
      <c r="F183" s="31"/>
      <c r="N183" s="30"/>
      <c r="U183" s="31"/>
      <c r="AC183" s="31"/>
      <c r="AN183" s="32"/>
      <c r="AO183" s="57"/>
    </row>
    <row r="184" spans="6:41">
      <c r="F184" s="31"/>
      <c r="N184" s="30"/>
      <c r="U184" s="31"/>
      <c r="AC184" s="31"/>
      <c r="AN184" s="32"/>
      <c r="AO184" s="57"/>
    </row>
    <row r="185" spans="6:41">
      <c r="F185" s="31"/>
      <c r="N185" s="30"/>
      <c r="U185" s="31"/>
      <c r="AC185" s="31"/>
      <c r="AN185" s="32"/>
      <c r="AO185" s="57"/>
    </row>
    <row r="186" spans="6:41">
      <c r="F186" s="31"/>
      <c r="N186" s="30"/>
      <c r="U186" s="31"/>
      <c r="AC186" s="31"/>
      <c r="AN186" s="32"/>
      <c r="AO186" s="57"/>
    </row>
    <row r="187" spans="6:41">
      <c r="F187" s="31"/>
      <c r="N187" s="30"/>
      <c r="U187" s="31"/>
      <c r="AC187" s="31"/>
      <c r="AN187" s="32"/>
      <c r="AO187" s="57"/>
    </row>
    <row r="188" spans="6:41">
      <c r="F188" s="31"/>
      <c r="N188" s="30"/>
      <c r="U188" s="31"/>
      <c r="AC188" s="31"/>
      <c r="AN188" s="32"/>
      <c r="AO188" s="57"/>
    </row>
    <row r="189" spans="6:41">
      <c r="F189" s="31"/>
      <c r="N189" s="30"/>
      <c r="U189" s="31"/>
      <c r="AC189" s="31"/>
      <c r="AN189" s="32"/>
      <c r="AO189" s="57"/>
    </row>
    <row r="190" spans="6:41">
      <c r="F190" s="31"/>
      <c r="N190" s="30"/>
      <c r="U190" s="31"/>
      <c r="AC190" s="31"/>
      <c r="AN190" s="32"/>
      <c r="AO190" s="57"/>
    </row>
    <row r="191" spans="6:41">
      <c r="F191" s="31"/>
      <c r="N191" s="30"/>
      <c r="U191" s="31"/>
      <c r="AC191" s="31"/>
      <c r="AN191" s="32"/>
      <c r="AO191" s="57"/>
    </row>
    <row r="192" spans="6:41">
      <c r="F192" s="31"/>
      <c r="N192" s="30"/>
      <c r="U192" s="31"/>
      <c r="AC192" s="31"/>
      <c r="AN192" s="32"/>
      <c r="AO192" s="57"/>
    </row>
    <row r="193" spans="6:41">
      <c r="F193" s="31"/>
      <c r="N193" s="30"/>
      <c r="U193" s="31"/>
      <c r="AC193" s="31"/>
      <c r="AN193" s="32"/>
      <c r="AO193" s="57"/>
    </row>
    <row r="194" spans="6:41">
      <c r="F194" s="31"/>
      <c r="N194" s="30"/>
      <c r="U194" s="31"/>
      <c r="AC194" s="31"/>
      <c r="AN194" s="32"/>
      <c r="AO194" s="57"/>
    </row>
    <row r="195" spans="6:41">
      <c r="F195" s="31"/>
      <c r="N195" s="30"/>
      <c r="U195" s="31"/>
      <c r="AC195" s="31"/>
      <c r="AN195" s="32"/>
      <c r="AO195" s="57"/>
    </row>
    <row r="196" spans="6:41">
      <c r="F196" s="31"/>
      <c r="N196" s="30"/>
      <c r="U196" s="31"/>
      <c r="AC196" s="31"/>
      <c r="AN196" s="32"/>
      <c r="AO196" s="57"/>
    </row>
    <row r="197" spans="6:41">
      <c r="F197" s="31"/>
      <c r="N197" s="30"/>
      <c r="U197" s="31"/>
      <c r="AC197" s="31"/>
      <c r="AN197" s="32"/>
      <c r="AO197" s="57"/>
    </row>
    <row r="198" spans="6:41">
      <c r="F198" s="31"/>
      <c r="N198" s="30"/>
      <c r="U198" s="31"/>
      <c r="AC198" s="31"/>
      <c r="AN198" s="32"/>
      <c r="AO198" s="57"/>
    </row>
    <row r="199" spans="6:41">
      <c r="F199" s="31"/>
      <c r="N199" s="30"/>
      <c r="U199" s="31"/>
      <c r="AC199" s="31"/>
      <c r="AN199" s="32"/>
      <c r="AO199" s="57"/>
    </row>
    <row r="200" spans="6:41">
      <c r="F200" s="31"/>
      <c r="N200" s="30"/>
      <c r="U200" s="31"/>
      <c r="AC200" s="31"/>
      <c r="AN200" s="32"/>
      <c r="AO200" s="57"/>
    </row>
    <row r="201" spans="6:41">
      <c r="F201" s="31"/>
      <c r="N201" s="30"/>
      <c r="U201" s="31"/>
      <c r="AC201" s="31"/>
      <c r="AN201" s="32"/>
      <c r="AO201" s="57"/>
    </row>
    <row r="202" spans="6:41">
      <c r="F202" s="31"/>
      <c r="N202" s="30"/>
      <c r="U202" s="31"/>
      <c r="AC202" s="31"/>
      <c r="AN202" s="32"/>
      <c r="AO202" s="57"/>
    </row>
    <row r="203" spans="6:41">
      <c r="F203" s="31"/>
      <c r="N203" s="30"/>
      <c r="U203" s="31"/>
      <c r="AC203" s="31"/>
      <c r="AN203" s="32"/>
      <c r="AO203" s="57"/>
    </row>
    <row r="204" spans="6:41">
      <c r="F204" s="31"/>
      <c r="N204" s="30"/>
      <c r="U204" s="31"/>
      <c r="AC204" s="31"/>
      <c r="AN204" s="32"/>
      <c r="AO204" s="57"/>
    </row>
    <row r="205" spans="6:41">
      <c r="F205" s="31"/>
      <c r="N205" s="30"/>
      <c r="U205" s="31"/>
      <c r="AC205" s="31"/>
      <c r="AN205" s="32"/>
      <c r="AO205" s="57"/>
    </row>
    <row r="206" spans="6:41">
      <c r="F206" s="31"/>
      <c r="N206" s="30"/>
      <c r="U206" s="31"/>
      <c r="AC206" s="31"/>
      <c r="AN206" s="32"/>
      <c r="AO206" s="57"/>
    </row>
    <row r="207" spans="6:41">
      <c r="F207" s="31"/>
      <c r="N207" s="30"/>
      <c r="U207" s="31"/>
      <c r="AC207" s="31"/>
      <c r="AN207" s="32"/>
      <c r="AO207" s="57"/>
    </row>
    <row r="208" spans="6:41">
      <c r="F208" s="31"/>
      <c r="N208" s="30"/>
      <c r="U208" s="31"/>
      <c r="AC208" s="31"/>
      <c r="AN208" s="32"/>
      <c r="AO208" s="57"/>
    </row>
    <row r="209" spans="6:41">
      <c r="F209" s="31"/>
      <c r="N209" s="30"/>
      <c r="U209" s="31"/>
      <c r="AC209" s="31"/>
      <c r="AN209" s="32"/>
      <c r="AO209" s="57"/>
    </row>
    <row r="210" spans="6:41">
      <c r="F210" s="31"/>
      <c r="N210" s="30"/>
      <c r="U210" s="31"/>
      <c r="AC210" s="31"/>
      <c r="AN210" s="32"/>
      <c r="AO210" s="57"/>
    </row>
    <row r="211" spans="6:41">
      <c r="F211" s="31"/>
      <c r="N211" s="30"/>
      <c r="U211" s="31"/>
      <c r="AC211" s="31"/>
      <c r="AN211" s="32"/>
      <c r="AO211" s="57"/>
    </row>
    <row r="212" spans="6:41">
      <c r="F212" s="31"/>
      <c r="N212" s="30"/>
      <c r="U212" s="31"/>
      <c r="AC212" s="31"/>
      <c r="AN212" s="32"/>
      <c r="AO212" s="57"/>
    </row>
    <row r="213" spans="6:41">
      <c r="F213" s="31"/>
      <c r="N213" s="30"/>
      <c r="U213" s="31"/>
      <c r="AC213" s="31"/>
      <c r="AN213" s="32"/>
      <c r="AO213" s="57"/>
    </row>
    <row r="214" spans="6:41">
      <c r="F214" s="31"/>
      <c r="N214" s="30"/>
      <c r="U214" s="31"/>
      <c r="AC214" s="31"/>
      <c r="AN214" s="32"/>
      <c r="AO214" s="57"/>
    </row>
    <row r="215" spans="6:41">
      <c r="F215" s="31"/>
      <c r="N215" s="30"/>
      <c r="U215" s="31"/>
      <c r="AC215" s="31"/>
      <c r="AN215" s="32"/>
      <c r="AO215" s="57"/>
    </row>
    <row r="216" spans="6:41">
      <c r="F216" s="31"/>
      <c r="N216" s="30"/>
      <c r="U216" s="31"/>
      <c r="AC216" s="31"/>
      <c r="AN216" s="32"/>
      <c r="AO216" s="57"/>
    </row>
    <row r="217" spans="6:41">
      <c r="F217" s="31"/>
      <c r="N217" s="30"/>
      <c r="U217" s="31"/>
      <c r="AC217" s="31"/>
      <c r="AN217" s="32"/>
      <c r="AO217" s="57"/>
    </row>
    <row r="218" spans="6:41">
      <c r="F218" s="31"/>
      <c r="N218" s="30"/>
      <c r="U218" s="31"/>
      <c r="AC218" s="31"/>
      <c r="AN218" s="32"/>
      <c r="AO218" s="57"/>
    </row>
    <row r="219" spans="6:41">
      <c r="F219" s="31"/>
      <c r="N219" s="30"/>
      <c r="U219" s="31"/>
      <c r="AC219" s="31"/>
      <c r="AN219" s="32"/>
      <c r="AO219" s="57"/>
    </row>
    <row r="220" spans="6:41">
      <c r="F220" s="31"/>
      <c r="N220" s="30"/>
      <c r="U220" s="31"/>
      <c r="AC220" s="31"/>
      <c r="AN220" s="32"/>
      <c r="AO220" s="57"/>
    </row>
    <row r="221" spans="6:41">
      <c r="F221" s="31"/>
      <c r="N221" s="30"/>
      <c r="U221" s="31"/>
      <c r="AC221" s="31"/>
      <c r="AN221" s="32"/>
      <c r="AO221" s="57"/>
    </row>
    <row r="222" spans="6:41">
      <c r="F222" s="31"/>
      <c r="N222" s="30"/>
      <c r="U222" s="31"/>
      <c r="AC222" s="31"/>
      <c r="AN222" s="32"/>
      <c r="AO222" s="57"/>
    </row>
    <row r="223" spans="6:41">
      <c r="F223" s="31"/>
      <c r="N223" s="30"/>
      <c r="U223" s="31"/>
      <c r="AC223" s="31"/>
      <c r="AN223" s="32"/>
      <c r="AO223" s="57"/>
    </row>
    <row r="224" spans="6:41">
      <c r="F224" s="31"/>
      <c r="N224" s="30"/>
      <c r="U224" s="31"/>
      <c r="AC224" s="31"/>
      <c r="AN224" s="32"/>
      <c r="AO224" s="57"/>
    </row>
    <row r="225" spans="6:41">
      <c r="F225" s="31"/>
      <c r="N225" s="30"/>
      <c r="U225" s="31"/>
      <c r="AC225" s="31"/>
      <c r="AN225" s="32"/>
      <c r="AO225" s="57"/>
    </row>
    <row r="226" spans="6:41">
      <c r="F226" s="31"/>
      <c r="N226" s="30"/>
      <c r="U226" s="31"/>
      <c r="AC226" s="31"/>
      <c r="AN226" s="32"/>
      <c r="AO226" s="57"/>
    </row>
    <row r="227" spans="6:41">
      <c r="F227" s="31"/>
      <c r="N227" s="30"/>
      <c r="U227" s="31"/>
      <c r="AC227" s="31"/>
      <c r="AN227" s="32"/>
      <c r="AO227" s="57"/>
    </row>
    <row r="228" spans="6:41">
      <c r="F228" s="31"/>
      <c r="N228" s="30"/>
      <c r="U228" s="31"/>
      <c r="AC228" s="31"/>
      <c r="AN228" s="32"/>
      <c r="AO228" s="57"/>
    </row>
    <row r="229" spans="6:41">
      <c r="F229" s="31"/>
      <c r="N229" s="30"/>
      <c r="U229" s="31"/>
      <c r="AC229" s="31"/>
      <c r="AN229" s="32"/>
      <c r="AO229" s="57"/>
    </row>
    <row r="230" spans="6:41">
      <c r="F230" s="31"/>
      <c r="N230" s="30"/>
      <c r="U230" s="31"/>
      <c r="AC230" s="31"/>
      <c r="AN230" s="32"/>
      <c r="AO230" s="57"/>
    </row>
    <row r="231" spans="6:41">
      <c r="F231" s="31"/>
      <c r="N231" s="30"/>
      <c r="U231" s="31"/>
      <c r="AC231" s="31"/>
      <c r="AN231" s="32"/>
      <c r="AO231" s="57"/>
    </row>
    <row r="232" spans="6:41">
      <c r="F232" s="31"/>
      <c r="N232" s="30"/>
      <c r="U232" s="31"/>
      <c r="AC232" s="31"/>
      <c r="AN232" s="32"/>
      <c r="AO232" s="57"/>
    </row>
    <row r="233" spans="6:41">
      <c r="F233" s="31"/>
      <c r="N233" s="30"/>
      <c r="U233" s="31"/>
      <c r="AC233" s="31"/>
      <c r="AN233" s="32"/>
      <c r="AO233" s="57"/>
    </row>
    <row r="234" spans="6:41">
      <c r="F234" s="31"/>
      <c r="N234" s="30"/>
      <c r="U234" s="31"/>
      <c r="AC234" s="31"/>
      <c r="AN234" s="32"/>
      <c r="AO234" s="57"/>
    </row>
    <row r="235" spans="6:41">
      <c r="F235" s="31"/>
      <c r="N235" s="30"/>
      <c r="U235" s="31"/>
      <c r="AC235" s="31"/>
      <c r="AN235" s="32"/>
      <c r="AO235" s="57"/>
    </row>
    <row r="236" spans="6:41">
      <c r="F236" s="31"/>
      <c r="N236" s="30"/>
      <c r="U236" s="31"/>
      <c r="AC236" s="31"/>
      <c r="AN236" s="32"/>
      <c r="AO236" s="57"/>
    </row>
    <row r="237" spans="6:41">
      <c r="F237" s="31"/>
      <c r="N237" s="30"/>
      <c r="U237" s="31"/>
      <c r="AC237" s="31"/>
      <c r="AN237" s="32"/>
      <c r="AO237" s="57"/>
    </row>
    <row r="238" spans="6:41">
      <c r="F238" s="31"/>
      <c r="N238" s="30"/>
      <c r="U238" s="31"/>
      <c r="AC238" s="31"/>
      <c r="AN238" s="32"/>
      <c r="AO238" s="57"/>
    </row>
    <row r="239" spans="6:41">
      <c r="F239" s="31"/>
      <c r="N239" s="30"/>
      <c r="U239" s="31"/>
      <c r="AC239" s="31"/>
      <c r="AN239" s="32"/>
      <c r="AO239" s="57"/>
    </row>
    <row r="240" spans="6:41">
      <c r="F240" s="31"/>
      <c r="N240" s="30"/>
      <c r="U240" s="31"/>
      <c r="AC240" s="31"/>
      <c r="AN240" s="32"/>
      <c r="AO240" s="57"/>
    </row>
    <row r="241" spans="6:41">
      <c r="F241" s="31"/>
      <c r="N241" s="30"/>
      <c r="U241" s="31"/>
      <c r="AC241" s="31"/>
      <c r="AN241" s="32"/>
      <c r="AO241" s="57"/>
    </row>
    <row r="242" spans="6:41">
      <c r="F242" s="31"/>
      <c r="N242" s="30"/>
      <c r="U242" s="31"/>
      <c r="AC242" s="31"/>
      <c r="AN242" s="32"/>
      <c r="AO242" s="57"/>
    </row>
    <row r="243" spans="6:41">
      <c r="F243" s="31"/>
      <c r="N243" s="30"/>
      <c r="U243" s="31"/>
      <c r="AC243" s="31"/>
      <c r="AN243" s="32"/>
      <c r="AO243" s="57"/>
    </row>
    <row r="244" spans="6:41">
      <c r="F244" s="31"/>
      <c r="N244" s="30"/>
      <c r="U244" s="31"/>
      <c r="AC244" s="31"/>
      <c r="AN244" s="32"/>
      <c r="AO244" s="57"/>
    </row>
    <row r="245" spans="6:41">
      <c r="F245" s="31"/>
      <c r="N245" s="30"/>
      <c r="U245" s="31"/>
      <c r="AC245" s="31"/>
      <c r="AN245" s="32"/>
      <c r="AO245" s="57"/>
    </row>
    <row r="246" spans="6:41">
      <c r="F246" s="31"/>
      <c r="N246" s="30"/>
      <c r="U246" s="31"/>
      <c r="AC246" s="31"/>
      <c r="AN246" s="32"/>
      <c r="AO246" s="57"/>
    </row>
    <row r="247" spans="6:41">
      <c r="F247" s="31"/>
      <c r="N247" s="30"/>
      <c r="U247" s="31"/>
      <c r="AC247" s="31"/>
      <c r="AN247" s="32"/>
      <c r="AO247" s="57"/>
    </row>
    <row r="248" spans="6:41">
      <c r="F248" s="31"/>
      <c r="N248" s="30"/>
      <c r="U248" s="31"/>
      <c r="AC248" s="31"/>
      <c r="AN248" s="32"/>
      <c r="AO248" s="57"/>
    </row>
    <row r="249" spans="6:41">
      <c r="F249" s="31"/>
      <c r="N249" s="30"/>
      <c r="U249" s="31"/>
      <c r="AC249" s="31"/>
      <c r="AN249" s="32"/>
      <c r="AO249" s="57"/>
    </row>
    <row r="250" spans="6:41">
      <c r="F250" s="31"/>
      <c r="N250" s="30"/>
      <c r="U250" s="31"/>
      <c r="AC250" s="31"/>
      <c r="AN250" s="32"/>
      <c r="AO250" s="57"/>
    </row>
    <row r="251" spans="6:41">
      <c r="F251" s="31"/>
      <c r="N251" s="30"/>
      <c r="U251" s="31"/>
      <c r="AC251" s="31"/>
      <c r="AN251" s="32"/>
      <c r="AO251" s="57"/>
    </row>
    <row r="252" spans="6:41">
      <c r="F252" s="31"/>
      <c r="N252" s="30"/>
      <c r="U252" s="31"/>
      <c r="AC252" s="31"/>
      <c r="AN252" s="32"/>
      <c r="AO252" s="57"/>
    </row>
    <row r="253" spans="6:41">
      <c r="F253" s="31"/>
      <c r="N253" s="30"/>
      <c r="U253" s="31"/>
      <c r="AC253" s="31"/>
      <c r="AN253" s="32"/>
      <c r="AO253" s="57"/>
    </row>
    <row r="254" spans="6:41">
      <c r="F254" s="31"/>
      <c r="N254" s="30"/>
      <c r="U254" s="31"/>
      <c r="AC254" s="31"/>
      <c r="AN254" s="32"/>
      <c r="AO254" s="57"/>
    </row>
    <row r="255" spans="6:41">
      <c r="F255" s="31"/>
      <c r="N255" s="30"/>
      <c r="U255" s="31"/>
      <c r="AC255" s="31"/>
      <c r="AN255" s="32"/>
      <c r="AO255" s="57"/>
    </row>
    <row r="256" spans="6:41">
      <c r="F256" s="31"/>
      <c r="N256" s="30"/>
      <c r="U256" s="31"/>
      <c r="AC256" s="31"/>
      <c r="AN256" s="32"/>
      <c r="AO256" s="57"/>
    </row>
    <row r="257" spans="6:41">
      <c r="F257" s="31"/>
      <c r="N257" s="30"/>
      <c r="U257" s="31"/>
      <c r="AC257" s="31"/>
      <c r="AN257" s="32"/>
      <c r="AO257" s="57"/>
    </row>
    <row r="258" spans="6:41">
      <c r="F258" s="31"/>
      <c r="N258" s="30"/>
      <c r="U258" s="31"/>
      <c r="AC258" s="31"/>
      <c r="AN258" s="32"/>
      <c r="AO258" s="57"/>
    </row>
    <row r="259" spans="6:41">
      <c r="F259" s="31"/>
      <c r="N259" s="30"/>
      <c r="U259" s="31"/>
      <c r="AC259" s="31"/>
      <c r="AN259" s="32"/>
      <c r="AO259" s="57"/>
    </row>
    <row r="260" spans="6:41">
      <c r="F260" s="31"/>
      <c r="N260" s="30"/>
      <c r="U260" s="31"/>
      <c r="AC260" s="31"/>
      <c r="AN260" s="32"/>
      <c r="AO260" s="57"/>
    </row>
    <row r="261" spans="6:41">
      <c r="F261" s="31"/>
      <c r="N261" s="30"/>
      <c r="U261" s="31"/>
      <c r="AC261" s="31"/>
      <c r="AN261" s="32"/>
      <c r="AO261" s="57"/>
    </row>
    <row r="262" spans="6:41">
      <c r="F262" s="31"/>
      <c r="N262" s="30"/>
      <c r="U262" s="31"/>
      <c r="AC262" s="31"/>
      <c r="AN262" s="32"/>
      <c r="AO262" s="57"/>
    </row>
    <row r="263" spans="6:41">
      <c r="F263" s="31"/>
      <c r="N263" s="30"/>
      <c r="U263" s="31"/>
      <c r="AC263" s="31"/>
      <c r="AN263" s="32"/>
      <c r="AO263" s="57"/>
    </row>
    <row r="264" spans="6:41">
      <c r="F264" s="31"/>
      <c r="N264" s="30"/>
      <c r="U264" s="31"/>
      <c r="AC264" s="31"/>
      <c r="AN264" s="32"/>
      <c r="AO264" s="57"/>
    </row>
    <row r="265" spans="6:41">
      <c r="F265" s="31"/>
      <c r="N265" s="30"/>
      <c r="U265" s="31"/>
      <c r="AC265" s="31"/>
      <c r="AN265" s="32"/>
      <c r="AO265" s="57"/>
    </row>
    <row r="266" spans="6:41">
      <c r="F266" s="31"/>
      <c r="N266" s="30"/>
      <c r="U266" s="31"/>
      <c r="AC266" s="31"/>
      <c r="AN266" s="32"/>
      <c r="AO266" s="57"/>
    </row>
    <row r="267" spans="6:41">
      <c r="F267" s="31"/>
      <c r="N267" s="30"/>
      <c r="U267" s="31"/>
      <c r="AC267" s="31"/>
      <c r="AN267" s="32"/>
      <c r="AO267" s="57"/>
    </row>
    <row r="268" spans="6:41">
      <c r="F268" s="31"/>
      <c r="N268" s="30"/>
      <c r="U268" s="31"/>
      <c r="AC268" s="31"/>
      <c r="AN268" s="32"/>
      <c r="AO268" s="57"/>
    </row>
    <row r="269" spans="6:41">
      <c r="F269" s="31"/>
      <c r="N269" s="30"/>
      <c r="U269" s="31"/>
      <c r="AC269" s="31"/>
      <c r="AN269" s="32"/>
      <c r="AO269" s="57"/>
    </row>
    <row r="270" spans="6:41">
      <c r="F270" s="31"/>
      <c r="N270" s="30"/>
      <c r="U270" s="31"/>
      <c r="AC270" s="31"/>
      <c r="AN270" s="32"/>
      <c r="AO270" s="57"/>
    </row>
    <row r="271" spans="6:41">
      <c r="F271" s="31"/>
      <c r="N271" s="30"/>
      <c r="U271" s="31"/>
      <c r="AC271" s="31"/>
      <c r="AN271" s="32"/>
      <c r="AO271" s="57"/>
    </row>
    <row r="272" spans="6:41">
      <c r="F272" s="31"/>
      <c r="N272" s="30"/>
      <c r="U272" s="31"/>
      <c r="AC272" s="31"/>
      <c r="AN272" s="32"/>
      <c r="AO272" s="57"/>
    </row>
    <row r="273" spans="6:41">
      <c r="F273" s="31"/>
      <c r="N273" s="30"/>
      <c r="U273" s="31"/>
      <c r="AC273" s="31"/>
      <c r="AN273" s="32"/>
      <c r="AO273" s="57"/>
    </row>
    <row r="274" spans="6:41">
      <c r="F274" s="31"/>
      <c r="N274" s="30"/>
      <c r="U274" s="31"/>
      <c r="AC274" s="31"/>
      <c r="AN274" s="32"/>
      <c r="AO274" s="57"/>
    </row>
    <row r="275" spans="6:41">
      <c r="F275" s="31"/>
      <c r="N275" s="30"/>
      <c r="U275" s="31"/>
      <c r="AC275" s="31"/>
      <c r="AN275" s="32"/>
      <c r="AO275" s="57"/>
    </row>
    <row r="276" spans="6:41">
      <c r="F276" s="31"/>
      <c r="N276" s="30"/>
      <c r="U276" s="31"/>
      <c r="AC276" s="31"/>
      <c r="AN276" s="32"/>
      <c r="AO276" s="57"/>
    </row>
    <row r="277" spans="6:41">
      <c r="F277" s="31"/>
      <c r="N277" s="30"/>
      <c r="U277" s="31"/>
      <c r="AC277" s="31"/>
      <c r="AN277" s="32"/>
      <c r="AO277" s="57"/>
    </row>
    <row r="278" spans="6:41">
      <c r="F278" s="31"/>
      <c r="N278" s="30"/>
      <c r="U278" s="31"/>
      <c r="AC278" s="31"/>
      <c r="AN278" s="32"/>
      <c r="AO278" s="57"/>
    </row>
    <row r="279" spans="6:41">
      <c r="F279" s="31"/>
      <c r="N279" s="30"/>
      <c r="U279" s="31"/>
      <c r="AC279" s="31"/>
      <c r="AN279" s="32"/>
      <c r="AO279" s="57"/>
    </row>
    <row r="280" spans="6:41">
      <c r="F280" s="31"/>
      <c r="N280" s="30"/>
      <c r="U280" s="31"/>
      <c r="AC280" s="31"/>
      <c r="AN280" s="32"/>
      <c r="AO280" s="57"/>
    </row>
    <row r="281" spans="6:41">
      <c r="F281" s="31"/>
      <c r="N281" s="30"/>
      <c r="U281" s="31"/>
      <c r="AC281" s="31"/>
      <c r="AN281" s="32"/>
      <c r="AO281" s="57"/>
    </row>
    <row r="282" spans="6:41">
      <c r="F282" s="31"/>
      <c r="N282" s="30"/>
      <c r="U282" s="31"/>
      <c r="AC282" s="31"/>
      <c r="AN282" s="32"/>
      <c r="AO282" s="57"/>
    </row>
    <row r="283" spans="6:41">
      <c r="F283" s="31"/>
      <c r="N283" s="30"/>
      <c r="U283" s="31"/>
      <c r="AC283" s="31"/>
      <c r="AN283" s="32"/>
      <c r="AO283" s="57"/>
    </row>
    <row r="284" spans="6:41">
      <c r="F284" s="31"/>
      <c r="N284" s="30"/>
      <c r="U284" s="31"/>
      <c r="AC284" s="31"/>
      <c r="AN284" s="32"/>
      <c r="AO284" s="57"/>
    </row>
    <row r="285" spans="6:41">
      <c r="F285" s="31"/>
      <c r="N285" s="30"/>
      <c r="U285" s="31"/>
      <c r="AC285" s="31"/>
      <c r="AN285" s="32"/>
      <c r="AO285" s="57"/>
    </row>
    <row r="286" spans="6:41">
      <c r="F286" s="31"/>
      <c r="N286" s="30"/>
      <c r="U286" s="31"/>
      <c r="AC286" s="31"/>
      <c r="AN286" s="32"/>
      <c r="AO286" s="57"/>
    </row>
    <row r="287" spans="6:41">
      <c r="F287" s="31"/>
      <c r="N287" s="30"/>
      <c r="U287" s="31"/>
      <c r="AC287" s="31"/>
      <c r="AN287" s="32"/>
      <c r="AO287" s="57"/>
    </row>
    <row r="288" spans="6:41">
      <c r="F288" s="31"/>
      <c r="N288" s="30"/>
      <c r="U288" s="31"/>
      <c r="AC288" s="31"/>
      <c r="AN288" s="32"/>
      <c r="AO288" s="57"/>
    </row>
    <row r="289" spans="6:41">
      <c r="F289" s="31"/>
      <c r="N289" s="30"/>
      <c r="U289" s="31"/>
      <c r="AC289" s="31"/>
      <c r="AN289" s="32"/>
      <c r="AO289" s="57"/>
    </row>
    <row r="290" spans="6:41">
      <c r="F290" s="31"/>
      <c r="N290" s="30"/>
      <c r="U290" s="31"/>
      <c r="AC290" s="31"/>
      <c r="AN290" s="32"/>
      <c r="AO290" s="57"/>
    </row>
    <row r="291" spans="6:41">
      <c r="F291" s="31"/>
      <c r="N291" s="30"/>
      <c r="U291" s="31"/>
      <c r="AC291" s="31"/>
      <c r="AN291" s="32"/>
      <c r="AO291" s="57"/>
    </row>
    <row r="292" spans="6:41">
      <c r="F292" s="31"/>
      <c r="N292" s="30"/>
      <c r="U292" s="31"/>
      <c r="AC292" s="31"/>
      <c r="AN292" s="32"/>
      <c r="AO292" s="57"/>
    </row>
    <row r="293" spans="6:41">
      <c r="F293" s="31"/>
      <c r="N293" s="30"/>
      <c r="U293" s="31"/>
      <c r="AC293" s="31"/>
      <c r="AN293" s="32"/>
      <c r="AO293" s="57"/>
    </row>
    <row r="294" spans="6:41">
      <c r="F294" s="31"/>
      <c r="N294" s="30"/>
      <c r="U294" s="31"/>
      <c r="AC294" s="31"/>
      <c r="AN294" s="32"/>
      <c r="AO294" s="57"/>
    </row>
    <row r="295" spans="6:41">
      <c r="F295" s="31"/>
      <c r="N295" s="30"/>
      <c r="U295" s="31"/>
      <c r="AC295" s="31"/>
      <c r="AN295" s="32"/>
      <c r="AO295" s="57"/>
    </row>
    <row r="296" spans="6:41">
      <c r="F296" s="31"/>
      <c r="N296" s="30"/>
      <c r="U296" s="31"/>
      <c r="AC296" s="31"/>
      <c r="AN296" s="32"/>
      <c r="AO296" s="57"/>
    </row>
    <row r="297" spans="6:41">
      <c r="F297" s="31"/>
      <c r="N297" s="30"/>
      <c r="U297" s="31"/>
      <c r="AC297" s="31"/>
      <c r="AN297" s="32"/>
      <c r="AO297" s="57"/>
    </row>
    <row r="298" spans="6:41">
      <c r="F298" s="31"/>
      <c r="N298" s="30"/>
      <c r="U298" s="31"/>
      <c r="AC298" s="31"/>
      <c r="AN298" s="32"/>
      <c r="AO298" s="57"/>
    </row>
    <row r="299" spans="6:41">
      <c r="F299" s="31"/>
      <c r="N299" s="30"/>
      <c r="U299" s="31"/>
      <c r="AC299" s="31"/>
      <c r="AN299" s="32"/>
      <c r="AO299" s="57"/>
    </row>
    <row r="300" spans="6:41">
      <c r="F300" s="31"/>
      <c r="N300" s="30"/>
      <c r="U300" s="31"/>
      <c r="AC300" s="31"/>
      <c r="AN300" s="32"/>
      <c r="AO300" s="57"/>
    </row>
    <row r="301" spans="6:41">
      <c r="F301" s="31"/>
      <c r="N301" s="30"/>
      <c r="U301" s="31"/>
      <c r="AC301" s="31"/>
      <c r="AN301" s="32"/>
      <c r="AO301" s="57"/>
    </row>
    <row r="302" spans="6:41">
      <c r="F302" s="31"/>
      <c r="N302" s="30"/>
      <c r="U302" s="31"/>
      <c r="AC302" s="31"/>
      <c r="AN302" s="32"/>
      <c r="AO302" s="57"/>
    </row>
    <row r="303" spans="6:41">
      <c r="F303" s="31"/>
      <c r="N303" s="30"/>
      <c r="U303" s="31"/>
      <c r="AC303" s="31"/>
      <c r="AN303" s="32"/>
      <c r="AO303" s="57"/>
    </row>
    <row r="304" spans="6:41">
      <c r="F304" s="31"/>
      <c r="N304" s="30"/>
      <c r="U304" s="31"/>
      <c r="AC304" s="31"/>
      <c r="AN304" s="32"/>
      <c r="AO304" s="57"/>
    </row>
    <row r="305" spans="6:41">
      <c r="F305" s="31"/>
      <c r="N305" s="30"/>
      <c r="U305" s="31"/>
      <c r="AC305" s="31"/>
      <c r="AN305" s="32"/>
      <c r="AO305" s="57"/>
    </row>
    <row r="306" spans="6:41">
      <c r="F306" s="31"/>
      <c r="N306" s="30"/>
      <c r="U306" s="31"/>
      <c r="AC306" s="31"/>
      <c r="AN306" s="32"/>
      <c r="AO306" s="57"/>
    </row>
    <row r="307" spans="6:41">
      <c r="F307" s="31"/>
      <c r="N307" s="30"/>
      <c r="U307" s="31"/>
      <c r="AC307" s="31"/>
      <c r="AN307" s="32"/>
      <c r="AO307" s="57"/>
    </row>
    <row r="308" spans="6:41">
      <c r="F308" s="31"/>
      <c r="N308" s="30"/>
      <c r="U308" s="31"/>
      <c r="AC308" s="31"/>
      <c r="AN308" s="32"/>
      <c r="AO308" s="57"/>
    </row>
    <row r="309" spans="6:41">
      <c r="F309" s="31"/>
      <c r="N309" s="30"/>
      <c r="U309" s="31"/>
      <c r="AC309" s="31"/>
      <c r="AN309" s="32"/>
      <c r="AO309" s="57"/>
    </row>
    <row r="310" spans="6:41">
      <c r="F310" s="31"/>
      <c r="N310" s="30"/>
      <c r="U310" s="31"/>
      <c r="AC310" s="31"/>
      <c r="AN310" s="32"/>
      <c r="AO310" s="57"/>
    </row>
    <row r="311" spans="6:41">
      <c r="F311" s="31"/>
      <c r="N311" s="30"/>
      <c r="U311" s="31"/>
      <c r="AC311" s="31"/>
      <c r="AN311" s="32"/>
      <c r="AO311" s="57"/>
    </row>
    <row r="312" spans="6:41">
      <c r="F312" s="31"/>
      <c r="N312" s="30"/>
      <c r="U312" s="31"/>
      <c r="AC312" s="31"/>
      <c r="AN312" s="32"/>
      <c r="AO312" s="57"/>
    </row>
    <row r="313" spans="6:41">
      <c r="F313" s="31"/>
      <c r="N313" s="30"/>
      <c r="U313" s="31"/>
      <c r="AC313" s="31"/>
      <c r="AN313" s="32"/>
      <c r="AO313" s="57"/>
    </row>
    <row r="314" spans="6:41">
      <c r="F314" s="31"/>
      <c r="N314" s="30"/>
      <c r="U314" s="31"/>
      <c r="AC314" s="31"/>
      <c r="AN314" s="32"/>
      <c r="AO314" s="57"/>
    </row>
    <row r="315" spans="6:41">
      <c r="F315" s="31"/>
      <c r="N315" s="30"/>
      <c r="U315" s="31"/>
      <c r="AC315" s="31"/>
      <c r="AN315" s="32"/>
      <c r="AO315" s="57"/>
    </row>
    <row r="316" spans="6:41">
      <c r="F316" s="31"/>
      <c r="N316" s="30"/>
      <c r="U316" s="31"/>
      <c r="AC316" s="31"/>
      <c r="AN316" s="32"/>
      <c r="AO316" s="57"/>
    </row>
    <row r="317" spans="6:41">
      <c r="F317" s="31"/>
      <c r="N317" s="30"/>
      <c r="U317" s="31"/>
      <c r="AC317" s="31"/>
      <c r="AN317" s="32"/>
      <c r="AO317" s="57"/>
    </row>
    <row r="318" spans="6:41">
      <c r="F318" s="31"/>
      <c r="N318" s="30"/>
      <c r="U318" s="31"/>
      <c r="AC318" s="31"/>
      <c r="AN318" s="32"/>
      <c r="AO318" s="57"/>
    </row>
    <row r="319" spans="6:41">
      <c r="F319" s="31"/>
      <c r="N319" s="30"/>
      <c r="U319" s="31"/>
      <c r="AC319" s="31"/>
      <c r="AN319" s="32"/>
      <c r="AO319" s="57"/>
    </row>
    <row r="320" spans="6:41">
      <c r="F320" s="31"/>
      <c r="N320" s="30"/>
      <c r="U320" s="31"/>
      <c r="AC320" s="31"/>
      <c r="AN320" s="32"/>
      <c r="AO320" s="57"/>
    </row>
    <row r="321" spans="6:41">
      <c r="F321" s="31"/>
      <c r="N321" s="30"/>
      <c r="U321" s="31"/>
      <c r="AC321" s="31"/>
      <c r="AN321" s="32"/>
      <c r="AO321" s="57"/>
    </row>
    <row r="322" spans="6:41">
      <c r="F322" s="31"/>
      <c r="N322" s="30"/>
      <c r="U322" s="31"/>
      <c r="AC322" s="31"/>
      <c r="AN322" s="32"/>
      <c r="AO322" s="57"/>
    </row>
    <row r="323" spans="6:41">
      <c r="F323" s="31"/>
      <c r="N323" s="30"/>
      <c r="U323" s="31"/>
      <c r="AC323" s="31"/>
      <c r="AN323" s="32"/>
      <c r="AO323" s="57"/>
    </row>
    <row r="324" spans="6:41">
      <c r="F324" s="31"/>
      <c r="N324" s="30"/>
      <c r="U324" s="31"/>
      <c r="AC324" s="31"/>
      <c r="AN324" s="32"/>
      <c r="AO324" s="57"/>
    </row>
    <row r="325" spans="6:41">
      <c r="F325" s="31"/>
      <c r="N325" s="30"/>
      <c r="U325" s="31"/>
      <c r="AC325" s="31"/>
      <c r="AN325" s="32"/>
      <c r="AO325" s="57"/>
    </row>
    <row r="326" spans="6:41">
      <c r="F326" s="31"/>
      <c r="N326" s="30"/>
      <c r="U326" s="31"/>
      <c r="AC326" s="31"/>
      <c r="AN326" s="32"/>
      <c r="AO326" s="57"/>
    </row>
    <row r="327" spans="6:41">
      <c r="F327" s="31"/>
      <c r="N327" s="30"/>
      <c r="U327" s="31"/>
      <c r="AC327" s="31"/>
      <c r="AN327" s="32"/>
      <c r="AO327" s="57"/>
    </row>
    <row r="328" spans="6:41">
      <c r="F328" s="31"/>
      <c r="N328" s="30"/>
      <c r="U328" s="31"/>
      <c r="AC328" s="31"/>
      <c r="AN328" s="32"/>
      <c r="AO328" s="57"/>
    </row>
    <row r="329" spans="6:41">
      <c r="F329" s="31"/>
      <c r="N329" s="30"/>
      <c r="U329" s="31"/>
      <c r="AC329" s="31"/>
      <c r="AN329" s="32"/>
      <c r="AO329" s="57"/>
    </row>
    <row r="330" spans="6:41">
      <c r="F330" s="31"/>
      <c r="N330" s="30"/>
      <c r="U330" s="31"/>
      <c r="AC330" s="31"/>
      <c r="AN330" s="32"/>
      <c r="AO330" s="57"/>
    </row>
    <row r="331" spans="6:41">
      <c r="F331" s="31"/>
      <c r="N331" s="30"/>
      <c r="U331" s="31"/>
      <c r="AC331" s="31"/>
      <c r="AN331" s="32"/>
      <c r="AO331" s="57"/>
    </row>
    <row r="332" spans="6:41">
      <c r="F332" s="31"/>
      <c r="N332" s="30"/>
      <c r="U332" s="31"/>
      <c r="AC332" s="31"/>
      <c r="AN332" s="32"/>
      <c r="AO332" s="57"/>
    </row>
    <row r="333" spans="6:41">
      <c r="F333" s="31"/>
      <c r="N333" s="30"/>
      <c r="U333" s="31"/>
      <c r="AC333" s="31"/>
      <c r="AN333" s="32"/>
      <c r="AO333" s="57"/>
    </row>
    <row r="334" spans="6:41">
      <c r="F334" s="31"/>
      <c r="N334" s="30"/>
      <c r="U334" s="31"/>
      <c r="AC334" s="31"/>
      <c r="AN334" s="32"/>
      <c r="AO334" s="57"/>
    </row>
    <row r="335" spans="6:41">
      <c r="F335" s="31"/>
      <c r="N335" s="30"/>
      <c r="U335" s="31"/>
      <c r="AC335" s="31"/>
      <c r="AN335" s="32"/>
      <c r="AO335" s="57"/>
    </row>
    <row r="336" spans="6:41">
      <c r="F336" s="31"/>
      <c r="N336" s="30"/>
      <c r="U336" s="31"/>
      <c r="AC336" s="31"/>
      <c r="AN336" s="32"/>
      <c r="AO336" s="57"/>
    </row>
    <row r="337" spans="6:41">
      <c r="F337" s="31"/>
      <c r="N337" s="30"/>
      <c r="U337" s="31"/>
      <c r="AC337" s="31"/>
      <c r="AN337" s="32"/>
      <c r="AO337" s="57"/>
    </row>
    <row r="338" spans="6:41">
      <c r="F338" s="31"/>
      <c r="N338" s="30"/>
      <c r="U338" s="31"/>
      <c r="AC338" s="31"/>
      <c r="AN338" s="32"/>
      <c r="AO338" s="57"/>
    </row>
    <row r="339" spans="6:41">
      <c r="F339" s="31"/>
      <c r="N339" s="30"/>
      <c r="U339" s="31"/>
      <c r="AC339" s="31"/>
      <c r="AN339" s="32"/>
      <c r="AO339" s="57"/>
    </row>
    <row r="340" spans="6:41">
      <c r="F340" s="31"/>
      <c r="N340" s="30"/>
      <c r="U340" s="31"/>
      <c r="AC340" s="31"/>
      <c r="AN340" s="32"/>
      <c r="AO340" s="57"/>
    </row>
    <row r="341" spans="6:41">
      <c r="F341" s="31"/>
      <c r="N341" s="30"/>
      <c r="U341" s="31"/>
      <c r="AC341" s="31"/>
      <c r="AN341" s="32"/>
      <c r="AO341" s="57"/>
    </row>
    <row r="342" spans="6:41">
      <c r="F342" s="31"/>
      <c r="N342" s="30"/>
      <c r="U342" s="31"/>
      <c r="AC342" s="31"/>
      <c r="AN342" s="32"/>
      <c r="AO342" s="57"/>
    </row>
    <row r="343" spans="6:41">
      <c r="F343" s="31"/>
      <c r="N343" s="30"/>
      <c r="U343" s="31"/>
      <c r="AC343" s="31"/>
      <c r="AN343" s="32"/>
      <c r="AO343" s="57"/>
    </row>
    <row r="344" spans="6:41">
      <c r="F344" s="31"/>
      <c r="N344" s="30"/>
      <c r="U344" s="31"/>
      <c r="AC344" s="31"/>
      <c r="AN344" s="32"/>
      <c r="AO344" s="57"/>
    </row>
    <row r="345" spans="6:41">
      <c r="F345" s="31"/>
      <c r="N345" s="30"/>
      <c r="U345" s="31"/>
      <c r="AC345" s="31"/>
      <c r="AN345" s="32"/>
      <c r="AO345" s="57"/>
    </row>
    <row r="346" spans="6:41">
      <c r="F346" s="31"/>
      <c r="N346" s="30"/>
      <c r="U346" s="31"/>
      <c r="AC346" s="31"/>
      <c r="AN346" s="32"/>
      <c r="AO346" s="57"/>
    </row>
    <row r="347" spans="6:41">
      <c r="F347" s="31"/>
      <c r="N347" s="30"/>
      <c r="U347" s="31"/>
      <c r="AC347" s="31"/>
      <c r="AN347" s="32"/>
      <c r="AO347" s="57"/>
    </row>
    <row r="348" spans="6:41">
      <c r="F348" s="31"/>
      <c r="N348" s="30"/>
      <c r="U348" s="31"/>
      <c r="AC348" s="31"/>
      <c r="AN348" s="32"/>
      <c r="AO348" s="57"/>
    </row>
    <row r="349" spans="6:41">
      <c r="F349" s="31"/>
      <c r="N349" s="30"/>
      <c r="U349" s="31"/>
      <c r="AC349" s="31"/>
      <c r="AN349" s="32"/>
      <c r="AO349" s="57"/>
    </row>
    <row r="350" spans="6:41">
      <c r="F350" s="31"/>
      <c r="N350" s="30"/>
      <c r="U350" s="31"/>
      <c r="AC350" s="31"/>
      <c r="AN350" s="32"/>
      <c r="AO350" s="57"/>
    </row>
    <row r="351" spans="6:41">
      <c r="F351" s="31"/>
      <c r="N351" s="30"/>
      <c r="U351" s="31"/>
      <c r="AC351" s="31"/>
      <c r="AN351" s="32"/>
      <c r="AO351" s="57"/>
    </row>
    <row r="352" spans="6:41">
      <c r="F352" s="31"/>
      <c r="N352" s="30"/>
      <c r="U352" s="31"/>
      <c r="AC352" s="31"/>
      <c r="AN352" s="32"/>
      <c r="AO352" s="57"/>
    </row>
    <row r="353" spans="6:41">
      <c r="F353" s="31"/>
      <c r="N353" s="30"/>
      <c r="U353" s="31"/>
      <c r="AC353" s="31"/>
      <c r="AN353" s="32"/>
      <c r="AO353" s="57"/>
    </row>
    <row r="354" spans="6:41">
      <c r="F354" s="31"/>
      <c r="N354" s="30"/>
      <c r="U354" s="31"/>
      <c r="AC354" s="31"/>
      <c r="AN354" s="32"/>
      <c r="AO354" s="57"/>
    </row>
    <row r="355" spans="6:41">
      <c r="F355" s="31"/>
      <c r="N355" s="30"/>
      <c r="U355" s="31"/>
      <c r="AC355" s="31"/>
      <c r="AN355" s="32"/>
      <c r="AO355" s="57"/>
    </row>
    <row r="356" spans="6:41">
      <c r="F356" s="31"/>
      <c r="N356" s="30"/>
      <c r="U356" s="31"/>
      <c r="AC356" s="31"/>
      <c r="AN356" s="32"/>
      <c r="AO356" s="57"/>
    </row>
    <row r="357" spans="6:41">
      <c r="F357" s="31"/>
      <c r="N357" s="30"/>
      <c r="U357" s="31"/>
      <c r="AC357" s="31"/>
      <c r="AN357" s="32"/>
      <c r="AO357" s="57"/>
    </row>
    <row r="358" spans="6:41">
      <c r="F358" s="31"/>
      <c r="N358" s="30"/>
      <c r="U358" s="31"/>
      <c r="AC358" s="31"/>
      <c r="AN358" s="32"/>
      <c r="AO358" s="57"/>
    </row>
    <row r="359" spans="6:41">
      <c r="F359" s="31"/>
      <c r="N359" s="30"/>
      <c r="U359" s="31"/>
      <c r="AC359" s="31"/>
      <c r="AN359" s="32"/>
      <c r="AO359" s="57"/>
    </row>
    <row r="360" spans="6:41">
      <c r="F360" s="31"/>
      <c r="N360" s="30"/>
      <c r="U360" s="31"/>
      <c r="AC360" s="31"/>
      <c r="AN360" s="32"/>
      <c r="AO360" s="57"/>
    </row>
    <row r="361" spans="6:41">
      <c r="F361" s="31"/>
      <c r="N361" s="30"/>
      <c r="U361" s="31"/>
      <c r="AC361" s="31"/>
      <c r="AN361" s="32"/>
      <c r="AO361" s="57"/>
    </row>
    <row r="362" spans="6:41">
      <c r="F362" s="31"/>
      <c r="N362" s="30"/>
      <c r="U362" s="31"/>
      <c r="AC362" s="31"/>
      <c r="AN362" s="32"/>
      <c r="AO362" s="57"/>
    </row>
    <row r="363" spans="6:41">
      <c r="F363" s="31"/>
      <c r="N363" s="30"/>
      <c r="U363" s="31"/>
      <c r="AC363" s="31"/>
      <c r="AN363" s="32"/>
      <c r="AO363" s="57"/>
    </row>
    <row r="364" spans="6:41">
      <c r="F364" s="31"/>
      <c r="N364" s="30"/>
      <c r="U364" s="31"/>
      <c r="AC364" s="31"/>
      <c r="AN364" s="32"/>
      <c r="AO364" s="57"/>
    </row>
    <row r="365" spans="6:41">
      <c r="F365" s="31"/>
      <c r="N365" s="30"/>
      <c r="U365" s="31"/>
      <c r="AC365" s="31"/>
      <c r="AN365" s="32"/>
      <c r="AO365" s="57"/>
    </row>
    <row r="366" spans="6:41">
      <c r="F366" s="31"/>
      <c r="N366" s="30"/>
      <c r="U366" s="31"/>
      <c r="AC366" s="31"/>
      <c r="AN366" s="32"/>
      <c r="AO366" s="57"/>
    </row>
    <row r="367" spans="6:41">
      <c r="F367" s="31"/>
      <c r="N367" s="30"/>
      <c r="U367" s="31"/>
      <c r="AC367" s="31"/>
      <c r="AN367" s="32"/>
      <c r="AO367" s="57"/>
    </row>
    <row r="368" spans="6:41">
      <c r="F368" s="31"/>
      <c r="N368" s="30"/>
      <c r="U368" s="31"/>
      <c r="AC368" s="31"/>
      <c r="AN368" s="32"/>
      <c r="AO368" s="57"/>
    </row>
    <row r="369" spans="6:41">
      <c r="F369" s="31"/>
      <c r="N369" s="30"/>
      <c r="U369" s="31"/>
      <c r="AC369" s="31"/>
      <c r="AN369" s="32"/>
      <c r="AO369" s="57"/>
    </row>
    <row r="370" spans="6:41">
      <c r="F370" s="31"/>
      <c r="N370" s="30"/>
      <c r="U370" s="31"/>
      <c r="AC370" s="31"/>
      <c r="AN370" s="32"/>
      <c r="AO370" s="57"/>
    </row>
    <row r="371" spans="6:41">
      <c r="F371" s="31"/>
      <c r="N371" s="30"/>
      <c r="U371" s="31"/>
      <c r="AC371" s="31"/>
      <c r="AN371" s="32"/>
      <c r="AO371" s="57"/>
    </row>
    <row r="372" spans="6:41">
      <c r="F372" s="31"/>
      <c r="N372" s="30"/>
      <c r="U372" s="31"/>
      <c r="AC372" s="31"/>
      <c r="AN372" s="32"/>
      <c r="AO372" s="57"/>
    </row>
    <row r="373" spans="6:41">
      <c r="F373" s="31"/>
      <c r="N373" s="30"/>
      <c r="U373" s="31"/>
      <c r="AC373" s="31"/>
      <c r="AN373" s="32"/>
      <c r="AO373" s="57"/>
    </row>
    <row r="374" spans="6:41">
      <c r="F374" s="31"/>
      <c r="N374" s="30"/>
      <c r="U374" s="31"/>
      <c r="AC374" s="31"/>
      <c r="AN374" s="32"/>
      <c r="AO374" s="57"/>
    </row>
    <row r="375" spans="6:41">
      <c r="F375" s="31"/>
      <c r="N375" s="30"/>
      <c r="U375" s="31"/>
      <c r="AC375" s="31"/>
      <c r="AN375" s="32"/>
      <c r="AO375" s="57"/>
    </row>
    <row r="376" spans="6:41">
      <c r="F376" s="31"/>
      <c r="N376" s="30"/>
      <c r="U376" s="31"/>
      <c r="AC376" s="31"/>
      <c r="AN376" s="32"/>
      <c r="AO376" s="57"/>
    </row>
    <row r="377" spans="6:41">
      <c r="F377" s="31"/>
      <c r="N377" s="30"/>
      <c r="U377" s="31"/>
      <c r="AC377" s="31"/>
      <c r="AN377" s="32"/>
      <c r="AO377" s="57"/>
    </row>
    <row r="378" spans="6:41">
      <c r="F378" s="31"/>
      <c r="N378" s="30"/>
      <c r="U378" s="31"/>
      <c r="AC378" s="31"/>
      <c r="AN378" s="32"/>
      <c r="AO378" s="57"/>
    </row>
    <row r="379" spans="6:41">
      <c r="F379" s="31"/>
      <c r="N379" s="30"/>
      <c r="U379" s="31"/>
      <c r="AC379" s="31"/>
      <c r="AN379" s="32"/>
      <c r="AO379" s="57"/>
    </row>
    <row r="380" spans="6:41">
      <c r="F380" s="31"/>
      <c r="N380" s="30"/>
      <c r="U380" s="31"/>
      <c r="AC380" s="31"/>
      <c r="AN380" s="32"/>
      <c r="AO380" s="57"/>
    </row>
    <row r="381" spans="6:41">
      <c r="F381" s="31"/>
      <c r="N381" s="30"/>
      <c r="U381" s="31"/>
      <c r="AC381" s="31"/>
      <c r="AN381" s="32"/>
      <c r="AO381" s="57"/>
    </row>
    <row r="382" spans="6:41">
      <c r="F382" s="31"/>
      <c r="N382" s="30"/>
      <c r="U382" s="31"/>
      <c r="AC382" s="31"/>
      <c r="AN382" s="32"/>
      <c r="AO382" s="57"/>
    </row>
    <row r="383" spans="6:41">
      <c r="F383" s="31"/>
      <c r="N383" s="30"/>
      <c r="U383" s="31"/>
      <c r="AC383" s="31"/>
      <c r="AN383" s="32"/>
      <c r="AO383" s="57"/>
    </row>
    <row r="384" spans="6:41">
      <c r="F384" s="31"/>
      <c r="N384" s="30"/>
      <c r="U384" s="31"/>
      <c r="AC384" s="31"/>
      <c r="AN384" s="32"/>
      <c r="AO384" s="57"/>
    </row>
    <row r="385" spans="6:41">
      <c r="F385" s="31"/>
      <c r="N385" s="30"/>
      <c r="U385" s="31"/>
      <c r="AC385" s="31"/>
      <c r="AN385" s="32"/>
      <c r="AO385" s="57"/>
    </row>
    <row r="386" spans="6:41">
      <c r="F386" s="31"/>
      <c r="N386" s="30"/>
      <c r="U386" s="31"/>
      <c r="AC386" s="31"/>
      <c r="AN386" s="32"/>
      <c r="AO386" s="57"/>
    </row>
    <row r="387" spans="6:41">
      <c r="F387" s="31"/>
      <c r="N387" s="30"/>
      <c r="U387" s="31"/>
      <c r="AC387" s="31"/>
      <c r="AN387" s="32"/>
      <c r="AO387" s="57"/>
    </row>
    <row r="388" spans="6:41">
      <c r="F388" s="31"/>
      <c r="N388" s="30"/>
      <c r="U388" s="31"/>
      <c r="AC388" s="31"/>
      <c r="AN388" s="32"/>
      <c r="AO388" s="57"/>
    </row>
    <row r="389" spans="6:41">
      <c r="F389" s="31"/>
      <c r="N389" s="30"/>
      <c r="U389" s="31"/>
      <c r="AC389" s="31"/>
      <c r="AN389" s="32"/>
      <c r="AO389" s="57"/>
    </row>
    <row r="390" spans="6:41">
      <c r="F390" s="31"/>
      <c r="N390" s="30"/>
      <c r="U390" s="31"/>
      <c r="AC390" s="31"/>
      <c r="AN390" s="32"/>
      <c r="AO390" s="57"/>
    </row>
    <row r="391" spans="6:41">
      <c r="F391" s="31"/>
      <c r="N391" s="30"/>
      <c r="U391" s="31"/>
      <c r="AC391" s="31"/>
      <c r="AN391" s="32"/>
      <c r="AO391" s="57"/>
    </row>
    <row r="392" spans="6:41">
      <c r="F392" s="31"/>
      <c r="N392" s="30"/>
      <c r="U392" s="31"/>
      <c r="AC392" s="31"/>
      <c r="AN392" s="32"/>
      <c r="AO392" s="57"/>
    </row>
    <row r="393" spans="6:41">
      <c r="F393" s="31"/>
      <c r="N393" s="30"/>
      <c r="U393" s="31"/>
      <c r="AC393" s="31"/>
      <c r="AN393" s="32"/>
      <c r="AO393" s="57"/>
    </row>
    <row r="394" spans="6:41">
      <c r="F394" s="31"/>
      <c r="N394" s="30"/>
      <c r="U394" s="31"/>
      <c r="AC394" s="31"/>
      <c r="AN394" s="32"/>
      <c r="AO394" s="57"/>
    </row>
    <row r="395" spans="6:41">
      <c r="F395" s="31"/>
      <c r="N395" s="30"/>
      <c r="U395" s="31"/>
      <c r="AC395" s="31"/>
      <c r="AN395" s="32"/>
      <c r="AO395" s="57"/>
    </row>
    <row r="396" spans="6:41">
      <c r="F396" s="31"/>
      <c r="N396" s="30"/>
      <c r="U396" s="31"/>
      <c r="AC396" s="31"/>
      <c r="AN396" s="32"/>
      <c r="AO396" s="57"/>
    </row>
    <row r="397" spans="6:41">
      <c r="F397" s="31"/>
      <c r="N397" s="30"/>
      <c r="U397" s="31"/>
      <c r="AC397" s="31"/>
      <c r="AN397" s="32"/>
      <c r="AO397" s="57"/>
    </row>
    <row r="398" spans="6:41">
      <c r="F398" s="31"/>
      <c r="N398" s="30"/>
      <c r="U398" s="31"/>
      <c r="AC398" s="31"/>
      <c r="AN398" s="32"/>
      <c r="AO398" s="57"/>
    </row>
    <row r="399" spans="6:41">
      <c r="F399" s="31"/>
      <c r="N399" s="30"/>
      <c r="U399" s="31"/>
      <c r="AC399" s="31"/>
      <c r="AN399" s="32"/>
      <c r="AO399" s="57"/>
    </row>
    <row r="400" spans="6:41">
      <c r="F400" s="31"/>
      <c r="N400" s="30"/>
      <c r="U400" s="31"/>
      <c r="AC400" s="31"/>
      <c r="AN400" s="32"/>
      <c r="AO400" s="57"/>
    </row>
    <row r="401" spans="6:41">
      <c r="F401" s="31"/>
      <c r="N401" s="30"/>
      <c r="U401" s="31"/>
      <c r="AC401" s="31"/>
      <c r="AN401" s="32"/>
      <c r="AO401" s="57"/>
    </row>
    <row r="402" spans="6:41">
      <c r="F402" s="31"/>
      <c r="N402" s="30"/>
      <c r="U402" s="31"/>
      <c r="AC402" s="31"/>
      <c r="AN402" s="32"/>
      <c r="AO402" s="57"/>
    </row>
    <row r="403" spans="6:41">
      <c r="F403" s="31"/>
      <c r="N403" s="30"/>
      <c r="U403" s="31"/>
      <c r="AC403" s="31"/>
      <c r="AN403" s="32"/>
      <c r="AO403" s="57"/>
    </row>
    <row r="404" spans="6:41">
      <c r="F404" s="31"/>
      <c r="N404" s="30"/>
      <c r="U404" s="31"/>
      <c r="AC404" s="31"/>
      <c r="AN404" s="32"/>
      <c r="AO404" s="57"/>
    </row>
    <row r="405" spans="6:41">
      <c r="F405" s="31"/>
      <c r="N405" s="30"/>
      <c r="U405" s="31"/>
      <c r="AC405" s="31"/>
      <c r="AN405" s="32"/>
      <c r="AO405" s="57"/>
    </row>
    <row r="406" spans="6:41">
      <c r="F406" s="31"/>
      <c r="N406" s="30"/>
      <c r="U406" s="31"/>
      <c r="AC406" s="31"/>
      <c r="AN406" s="32"/>
      <c r="AO406" s="57"/>
    </row>
    <row r="407" spans="6:41">
      <c r="F407" s="31"/>
      <c r="N407" s="30"/>
      <c r="U407" s="31"/>
      <c r="AC407" s="31"/>
      <c r="AN407" s="32"/>
      <c r="AO407" s="57"/>
    </row>
    <row r="408" spans="6:41">
      <c r="F408" s="31"/>
      <c r="N408" s="30"/>
      <c r="U408" s="31"/>
      <c r="AC408" s="31"/>
      <c r="AN408" s="32"/>
      <c r="AO408" s="57"/>
    </row>
    <row r="409" spans="6:41">
      <c r="F409" s="31"/>
      <c r="N409" s="30"/>
      <c r="U409" s="31"/>
      <c r="AC409" s="31"/>
      <c r="AN409" s="32"/>
      <c r="AO409" s="57"/>
    </row>
    <row r="410" spans="6:41">
      <c r="F410" s="31"/>
      <c r="N410" s="30"/>
      <c r="U410" s="31"/>
      <c r="AC410" s="31"/>
      <c r="AN410" s="32"/>
      <c r="AO410" s="57"/>
    </row>
    <row r="411" spans="6:41">
      <c r="F411" s="31"/>
      <c r="N411" s="30"/>
      <c r="U411" s="31"/>
      <c r="AC411" s="31"/>
      <c r="AN411" s="32"/>
      <c r="AO411" s="57"/>
    </row>
    <row r="412" spans="6:41">
      <c r="F412" s="31"/>
      <c r="N412" s="30"/>
      <c r="U412" s="31"/>
      <c r="AC412" s="31"/>
      <c r="AN412" s="32"/>
      <c r="AO412" s="57"/>
    </row>
    <row r="413" spans="6:41">
      <c r="F413" s="31"/>
      <c r="N413" s="30"/>
      <c r="U413" s="31"/>
      <c r="AC413" s="31"/>
      <c r="AN413" s="32"/>
      <c r="AO413" s="57"/>
    </row>
    <row r="414" spans="6:41">
      <c r="F414" s="31"/>
      <c r="N414" s="30"/>
      <c r="U414" s="31"/>
      <c r="AC414" s="31"/>
      <c r="AN414" s="32"/>
      <c r="AO414" s="57"/>
    </row>
    <row r="415" spans="6:41">
      <c r="F415" s="31"/>
      <c r="N415" s="30"/>
      <c r="U415" s="31"/>
      <c r="AC415" s="31"/>
      <c r="AN415" s="32"/>
      <c r="AO415" s="57"/>
    </row>
    <row r="416" spans="6:41">
      <c r="F416" s="31"/>
      <c r="N416" s="30"/>
      <c r="U416" s="31"/>
      <c r="AC416" s="31"/>
      <c r="AN416" s="32"/>
      <c r="AO416" s="57"/>
    </row>
    <row r="417" spans="6:41">
      <c r="F417" s="31"/>
      <c r="N417" s="30"/>
      <c r="U417" s="31"/>
      <c r="AC417" s="31"/>
      <c r="AN417" s="32"/>
      <c r="AO417" s="57"/>
    </row>
    <row r="418" spans="6:41">
      <c r="F418" s="31"/>
      <c r="N418" s="30"/>
      <c r="U418" s="31"/>
      <c r="AC418" s="31"/>
      <c r="AN418" s="32"/>
      <c r="AO418" s="57"/>
    </row>
    <row r="419" spans="6:41">
      <c r="F419" s="31"/>
      <c r="N419" s="30"/>
      <c r="U419" s="31"/>
      <c r="AC419" s="31"/>
      <c r="AN419" s="32"/>
      <c r="AO419" s="57"/>
    </row>
    <row r="420" spans="6:41">
      <c r="F420" s="31"/>
      <c r="N420" s="30"/>
      <c r="U420" s="31"/>
      <c r="AC420" s="31"/>
      <c r="AN420" s="32"/>
      <c r="AO420" s="57"/>
    </row>
    <row r="421" spans="6:41">
      <c r="F421" s="31"/>
      <c r="N421" s="30"/>
      <c r="U421" s="31"/>
      <c r="AC421" s="31"/>
      <c r="AN421" s="32"/>
      <c r="AO421" s="57"/>
    </row>
    <row r="422" spans="6:41">
      <c r="F422" s="31"/>
      <c r="N422" s="30"/>
      <c r="U422" s="31"/>
      <c r="AC422" s="31"/>
      <c r="AN422" s="32"/>
      <c r="AO422" s="57"/>
    </row>
    <row r="423" spans="6:41">
      <c r="F423" s="31"/>
      <c r="N423" s="30"/>
      <c r="U423" s="31"/>
      <c r="AC423" s="31"/>
      <c r="AN423" s="32"/>
      <c r="AO423" s="57"/>
    </row>
    <row r="424" spans="6:41">
      <c r="F424" s="31"/>
      <c r="N424" s="30"/>
      <c r="U424" s="31"/>
      <c r="AC424" s="31"/>
      <c r="AN424" s="32"/>
      <c r="AO424" s="57"/>
    </row>
    <row r="425" spans="6:41">
      <c r="F425" s="31"/>
      <c r="N425" s="30"/>
      <c r="U425" s="31"/>
      <c r="AC425" s="31"/>
      <c r="AN425" s="32"/>
      <c r="AO425" s="57"/>
    </row>
    <row r="426" spans="6:41">
      <c r="F426" s="31"/>
      <c r="N426" s="30"/>
      <c r="U426" s="31"/>
      <c r="AC426" s="31"/>
      <c r="AN426" s="32"/>
      <c r="AO426" s="57"/>
    </row>
    <row r="427" spans="6:41">
      <c r="F427" s="31"/>
      <c r="N427" s="30"/>
      <c r="U427" s="31"/>
      <c r="AC427" s="31"/>
      <c r="AN427" s="32"/>
      <c r="AO427" s="57"/>
    </row>
    <row r="428" spans="6:41">
      <c r="F428" s="31"/>
      <c r="N428" s="30"/>
      <c r="U428" s="31"/>
      <c r="AC428" s="31"/>
      <c r="AN428" s="32"/>
      <c r="AO428" s="57"/>
    </row>
    <row r="429" spans="6:41">
      <c r="F429" s="31"/>
      <c r="N429" s="30"/>
      <c r="U429" s="31"/>
      <c r="AC429" s="31"/>
      <c r="AN429" s="32"/>
      <c r="AO429" s="57"/>
    </row>
    <row r="430" spans="6:41">
      <c r="F430" s="31"/>
      <c r="N430" s="30"/>
      <c r="U430" s="31"/>
      <c r="AC430" s="31"/>
      <c r="AN430" s="32"/>
      <c r="AO430" s="57"/>
    </row>
    <row r="431" spans="6:41">
      <c r="F431" s="31"/>
      <c r="N431" s="30"/>
      <c r="U431" s="31"/>
      <c r="AC431" s="31"/>
      <c r="AN431" s="32"/>
      <c r="AO431" s="57"/>
    </row>
    <row r="432" spans="6:41">
      <c r="F432" s="31"/>
      <c r="N432" s="30"/>
      <c r="U432" s="31"/>
      <c r="AC432" s="31"/>
      <c r="AN432" s="32"/>
      <c r="AO432" s="57"/>
    </row>
    <row r="433" spans="6:41">
      <c r="F433" s="31"/>
      <c r="N433" s="30"/>
      <c r="U433" s="31"/>
      <c r="AC433" s="31"/>
      <c r="AN433" s="32"/>
      <c r="AO433" s="57"/>
    </row>
    <row r="434" spans="6:41">
      <c r="F434" s="31"/>
      <c r="N434" s="30"/>
      <c r="U434" s="31"/>
      <c r="AC434" s="31"/>
      <c r="AN434" s="32"/>
      <c r="AO434" s="57"/>
    </row>
    <row r="435" spans="6:41">
      <c r="F435" s="31"/>
      <c r="N435" s="30"/>
      <c r="U435" s="31"/>
      <c r="AC435" s="31"/>
      <c r="AN435" s="32"/>
      <c r="AO435" s="57"/>
    </row>
    <row r="436" spans="6:41">
      <c r="F436" s="31"/>
      <c r="N436" s="30"/>
      <c r="U436" s="31"/>
      <c r="AC436" s="31"/>
      <c r="AN436" s="32"/>
      <c r="AO436" s="57"/>
    </row>
    <row r="437" spans="6:41">
      <c r="F437" s="31"/>
      <c r="N437" s="30"/>
      <c r="U437" s="31"/>
      <c r="AC437" s="31"/>
      <c r="AN437" s="32"/>
      <c r="AO437" s="57"/>
    </row>
    <row r="438" spans="6:41">
      <c r="F438" s="31"/>
      <c r="N438" s="30"/>
      <c r="U438" s="31"/>
      <c r="AC438" s="31"/>
      <c r="AN438" s="32"/>
      <c r="AO438" s="57"/>
    </row>
    <row r="439" spans="6:41">
      <c r="F439" s="31"/>
      <c r="N439" s="30"/>
      <c r="U439" s="31"/>
      <c r="AC439" s="31"/>
      <c r="AN439" s="32"/>
      <c r="AO439" s="57"/>
    </row>
    <row r="440" spans="6:41">
      <c r="F440" s="31"/>
      <c r="N440" s="30"/>
      <c r="U440" s="31"/>
      <c r="AC440" s="31"/>
      <c r="AN440" s="32"/>
      <c r="AO440" s="57"/>
    </row>
    <row r="441" spans="6:41">
      <c r="F441" s="31"/>
      <c r="N441" s="30"/>
      <c r="U441" s="31"/>
      <c r="AC441" s="31"/>
      <c r="AN441" s="32"/>
      <c r="AO441" s="57"/>
    </row>
    <row r="442" spans="6:41">
      <c r="F442" s="31"/>
      <c r="N442" s="30"/>
      <c r="U442" s="31"/>
      <c r="AC442" s="31"/>
      <c r="AN442" s="32"/>
      <c r="AO442" s="57"/>
    </row>
    <row r="443" spans="6:41">
      <c r="F443" s="31"/>
      <c r="N443" s="30"/>
      <c r="U443" s="31"/>
      <c r="AC443" s="31"/>
      <c r="AN443" s="32"/>
      <c r="AO443" s="57"/>
    </row>
    <row r="444" spans="6:41">
      <c r="F444" s="31"/>
      <c r="N444" s="30"/>
      <c r="U444" s="31"/>
      <c r="AC444" s="31"/>
      <c r="AN444" s="32"/>
      <c r="AO444" s="57"/>
    </row>
    <row r="445" spans="6:41">
      <c r="F445" s="31"/>
      <c r="N445" s="30"/>
      <c r="U445" s="31"/>
      <c r="AC445" s="31"/>
      <c r="AN445" s="32"/>
      <c r="AO445" s="57"/>
    </row>
    <row r="446" spans="6:41">
      <c r="F446" s="31"/>
      <c r="N446" s="30"/>
      <c r="U446" s="31"/>
      <c r="AC446" s="31"/>
      <c r="AN446" s="32"/>
      <c r="AO446" s="57"/>
    </row>
    <row r="447" spans="6:41">
      <c r="F447" s="31"/>
      <c r="N447" s="30"/>
      <c r="U447" s="31"/>
      <c r="AC447" s="31"/>
      <c r="AN447" s="32"/>
      <c r="AO447" s="57"/>
    </row>
    <row r="448" spans="6:41">
      <c r="F448" s="31"/>
      <c r="N448" s="30"/>
      <c r="U448" s="31"/>
      <c r="AC448" s="31"/>
      <c r="AN448" s="32"/>
      <c r="AO448" s="57"/>
    </row>
    <row r="449" spans="6:41">
      <c r="F449" s="31"/>
      <c r="N449" s="30"/>
      <c r="U449" s="31"/>
      <c r="AC449" s="31"/>
      <c r="AN449" s="32"/>
      <c r="AO449" s="57"/>
    </row>
    <row r="450" spans="6:41">
      <c r="F450" s="31"/>
      <c r="N450" s="30"/>
      <c r="U450" s="31"/>
      <c r="AC450" s="31"/>
      <c r="AN450" s="32"/>
      <c r="AO450" s="57"/>
    </row>
    <row r="451" spans="6:41">
      <c r="F451" s="31"/>
      <c r="N451" s="30"/>
      <c r="U451" s="31"/>
      <c r="AC451" s="31"/>
      <c r="AN451" s="32"/>
      <c r="AO451" s="57"/>
    </row>
    <row r="452" spans="6:41">
      <c r="F452" s="31"/>
      <c r="N452" s="30"/>
      <c r="U452" s="31"/>
      <c r="AC452" s="31"/>
      <c r="AN452" s="32"/>
      <c r="AO452" s="57"/>
    </row>
    <row r="453" spans="6:41">
      <c r="F453" s="31"/>
      <c r="N453" s="30"/>
      <c r="U453" s="31"/>
      <c r="AC453" s="31"/>
      <c r="AN453" s="32"/>
      <c r="AO453" s="57"/>
    </row>
    <row r="454" spans="6:41">
      <c r="F454" s="31"/>
      <c r="N454" s="30"/>
      <c r="U454" s="31"/>
      <c r="AC454" s="31"/>
      <c r="AN454" s="32"/>
      <c r="AO454" s="57"/>
    </row>
    <row r="455" spans="6:41">
      <c r="F455" s="31"/>
      <c r="N455" s="30"/>
      <c r="U455" s="31"/>
      <c r="AC455" s="31"/>
      <c r="AN455" s="32"/>
      <c r="AO455" s="57"/>
    </row>
    <row r="456" spans="6:41">
      <c r="F456" s="31"/>
      <c r="N456" s="30"/>
      <c r="U456" s="31"/>
      <c r="AC456" s="31"/>
      <c r="AN456" s="32"/>
      <c r="AO456" s="57"/>
    </row>
    <row r="457" spans="6:41">
      <c r="F457" s="31"/>
      <c r="N457" s="30"/>
      <c r="U457" s="31"/>
      <c r="AC457" s="31"/>
      <c r="AN457" s="32"/>
      <c r="AO457" s="57"/>
    </row>
    <row r="458" spans="6:41">
      <c r="F458" s="31"/>
      <c r="N458" s="30"/>
      <c r="U458" s="31"/>
      <c r="AC458" s="31"/>
      <c r="AN458" s="32"/>
      <c r="AO458" s="57"/>
    </row>
    <row r="459" spans="6:41">
      <c r="F459" s="31"/>
      <c r="N459" s="30"/>
      <c r="U459" s="31"/>
      <c r="AC459" s="31"/>
      <c r="AN459" s="32"/>
      <c r="AO459" s="57"/>
    </row>
    <row r="460" spans="6:41">
      <c r="F460" s="31"/>
      <c r="N460" s="30"/>
      <c r="U460" s="31"/>
      <c r="AC460" s="31"/>
      <c r="AN460" s="32"/>
      <c r="AO460" s="57"/>
    </row>
    <row r="461" spans="6:41">
      <c r="F461" s="31"/>
      <c r="N461" s="30"/>
      <c r="U461" s="31"/>
      <c r="AC461" s="31"/>
      <c r="AN461" s="32"/>
      <c r="AO461" s="57"/>
    </row>
    <row r="462" spans="6:41">
      <c r="F462" s="31"/>
      <c r="N462" s="30"/>
      <c r="U462" s="31"/>
      <c r="AC462" s="31"/>
      <c r="AN462" s="32"/>
      <c r="AO462" s="57"/>
    </row>
    <row r="463" spans="6:41">
      <c r="F463" s="31"/>
      <c r="N463" s="30"/>
      <c r="U463" s="31"/>
      <c r="AC463" s="31"/>
      <c r="AN463" s="32"/>
      <c r="AO463" s="57"/>
    </row>
    <row r="464" spans="6:41">
      <c r="F464" s="31"/>
      <c r="N464" s="30"/>
      <c r="U464" s="31"/>
      <c r="AC464" s="31"/>
      <c r="AN464" s="32"/>
      <c r="AO464" s="57"/>
    </row>
    <row r="465" spans="6:41">
      <c r="F465" s="31"/>
      <c r="N465" s="30"/>
      <c r="U465" s="31"/>
      <c r="AC465" s="31"/>
      <c r="AN465" s="32"/>
      <c r="AO465" s="57"/>
    </row>
    <row r="466" spans="6:41">
      <c r="F466" s="31"/>
      <c r="N466" s="30"/>
      <c r="U466" s="31"/>
      <c r="AC466" s="31"/>
      <c r="AN466" s="32"/>
      <c r="AO466" s="57"/>
    </row>
    <row r="467" spans="6:41">
      <c r="F467" s="31"/>
      <c r="N467" s="30"/>
      <c r="U467" s="31"/>
      <c r="AC467" s="31"/>
      <c r="AN467" s="32"/>
      <c r="AO467" s="57"/>
    </row>
    <row r="468" spans="6:41">
      <c r="F468" s="31"/>
      <c r="N468" s="30"/>
      <c r="U468" s="31"/>
      <c r="AC468" s="31"/>
      <c r="AN468" s="32"/>
      <c r="AO468" s="57"/>
    </row>
    <row r="469" spans="6:41">
      <c r="F469" s="31"/>
      <c r="N469" s="30"/>
      <c r="U469" s="31"/>
      <c r="AC469" s="31"/>
      <c r="AN469" s="32"/>
      <c r="AO469" s="57"/>
    </row>
    <row r="470" spans="6:41">
      <c r="F470" s="31"/>
      <c r="N470" s="30"/>
      <c r="U470" s="31"/>
      <c r="AC470" s="31"/>
      <c r="AN470" s="32"/>
      <c r="AO470" s="57"/>
    </row>
    <row r="471" spans="6:41">
      <c r="F471" s="31"/>
      <c r="N471" s="30"/>
      <c r="U471" s="31"/>
      <c r="AC471" s="31"/>
      <c r="AN471" s="32"/>
      <c r="AO471" s="57"/>
    </row>
    <row r="472" spans="6:41">
      <c r="F472" s="31"/>
      <c r="N472" s="30"/>
      <c r="U472" s="31"/>
      <c r="AC472" s="31"/>
      <c r="AN472" s="32"/>
      <c r="AO472" s="57"/>
    </row>
    <row r="473" spans="6:41">
      <c r="F473" s="31"/>
      <c r="N473" s="30"/>
      <c r="U473" s="31"/>
      <c r="AC473" s="31"/>
      <c r="AN473" s="32"/>
      <c r="AO473" s="57"/>
    </row>
    <row r="474" spans="6:41">
      <c r="F474" s="31"/>
      <c r="N474" s="30"/>
      <c r="U474" s="31"/>
      <c r="AC474" s="31"/>
      <c r="AN474" s="32"/>
      <c r="AO474" s="57"/>
    </row>
    <row r="475" spans="6:41">
      <c r="F475" s="31"/>
      <c r="N475" s="30"/>
      <c r="U475" s="31"/>
      <c r="AC475" s="31"/>
      <c r="AN475" s="32"/>
      <c r="AO475" s="57"/>
    </row>
    <row r="476" spans="6:41">
      <c r="F476" s="31"/>
      <c r="N476" s="30"/>
      <c r="U476" s="31"/>
      <c r="AC476" s="31"/>
      <c r="AN476" s="32"/>
      <c r="AO476" s="57"/>
    </row>
    <row r="477" spans="6:41">
      <c r="F477" s="31"/>
      <c r="N477" s="30"/>
      <c r="U477" s="31"/>
      <c r="AC477" s="31"/>
      <c r="AN477" s="32"/>
      <c r="AO477" s="57"/>
    </row>
    <row r="478" spans="6:41">
      <c r="F478" s="31"/>
      <c r="N478" s="30"/>
      <c r="U478" s="31"/>
      <c r="AC478" s="31"/>
      <c r="AN478" s="32"/>
      <c r="AO478" s="57"/>
    </row>
    <row r="479" spans="6:41">
      <c r="F479" s="31"/>
      <c r="N479" s="30"/>
      <c r="U479" s="31"/>
      <c r="AC479" s="31"/>
      <c r="AN479" s="32"/>
      <c r="AO479" s="57"/>
    </row>
    <row r="480" spans="6:41">
      <c r="F480" s="31"/>
      <c r="N480" s="30"/>
      <c r="U480" s="31"/>
      <c r="AC480" s="31"/>
      <c r="AN480" s="32"/>
      <c r="AO480" s="57"/>
    </row>
    <row r="481" spans="6:41">
      <c r="F481" s="31"/>
      <c r="N481" s="30"/>
      <c r="U481" s="31"/>
      <c r="AC481" s="31"/>
      <c r="AN481" s="32"/>
      <c r="AO481" s="57"/>
    </row>
    <row r="482" spans="6:41">
      <c r="F482" s="31"/>
      <c r="N482" s="30"/>
      <c r="U482" s="31"/>
      <c r="AC482" s="31"/>
      <c r="AN482" s="32"/>
      <c r="AO482" s="57"/>
    </row>
    <row r="483" spans="6:41">
      <c r="F483" s="31"/>
      <c r="N483" s="30"/>
      <c r="U483" s="31"/>
      <c r="AC483" s="31"/>
      <c r="AN483" s="32"/>
      <c r="AO483" s="57"/>
    </row>
    <row r="484" spans="6:41">
      <c r="F484" s="31"/>
      <c r="N484" s="30"/>
      <c r="U484" s="31"/>
      <c r="AC484" s="31"/>
      <c r="AN484" s="32"/>
      <c r="AO484" s="57"/>
    </row>
    <row r="485" spans="6:41">
      <c r="F485" s="31"/>
      <c r="N485" s="30"/>
      <c r="U485" s="31"/>
      <c r="AC485" s="31"/>
      <c r="AN485" s="32"/>
      <c r="AO485" s="57"/>
    </row>
    <row r="486" spans="6:41">
      <c r="F486" s="31"/>
      <c r="N486" s="30"/>
      <c r="U486" s="31"/>
      <c r="AC486" s="31"/>
      <c r="AN486" s="32"/>
      <c r="AO486" s="57"/>
    </row>
    <row r="487" spans="6:41">
      <c r="F487" s="31"/>
      <c r="N487" s="30"/>
      <c r="U487" s="31"/>
      <c r="AC487" s="31"/>
      <c r="AN487" s="32"/>
      <c r="AO487" s="57"/>
    </row>
    <row r="488" spans="6:41">
      <c r="F488" s="31"/>
      <c r="N488" s="30"/>
      <c r="U488" s="31"/>
      <c r="AC488" s="31"/>
      <c r="AN488" s="32"/>
      <c r="AO488" s="57"/>
    </row>
    <row r="489" spans="6:41">
      <c r="F489" s="31"/>
      <c r="N489" s="30"/>
      <c r="U489" s="31"/>
      <c r="AC489" s="31"/>
      <c r="AN489" s="32"/>
      <c r="AO489" s="57"/>
    </row>
    <row r="490" spans="6:41">
      <c r="F490" s="31"/>
      <c r="N490" s="30"/>
      <c r="U490" s="31"/>
      <c r="AC490" s="31"/>
      <c r="AN490" s="32"/>
      <c r="AO490" s="57"/>
    </row>
    <row r="491" spans="6:41">
      <c r="F491" s="31"/>
      <c r="N491" s="30"/>
      <c r="U491" s="31"/>
      <c r="AC491" s="31"/>
      <c r="AN491" s="32"/>
      <c r="AO491" s="57"/>
    </row>
    <row r="492" spans="6:41">
      <c r="F492" s="31"/>
      <c r="N492" s="30"/>
      <c r="U492" s="31"/>
      <c r="AC492" s="31"/>
      <c r="AN492" s="32"/>
      <c r="AO492" s="57"/>
    </row>
    <row r="493" spans="6:41">
      <c r="F493" s="31"/>
      <c r="N493" s="30"/>
      <c r="U493" s="31"/>
      <c r="AC493" s="31"/>
      <c r="AN493" s="32"/>
      <c r="AO493" s="57"/>
    </row>
    <row r="494" spans="6:41">
      <c r="F494" s="31"/>
      <c r="N494" s="30"/>
      <c r="U494" s="31"/>
      <c r="AC494" s="31"/>
      <c r="AN494" s="32"/>
      <c r="AO494" s="57"/>
    </row>
    <row r="495" spans="6:41">
      <c r="F495" s="31"/>
      <c r="N495" s="30"/>
      <c r="U495" s="31"/>
      <c r="AC495" s="31"/>
      <c r="AN495" s="32"/>
      <c r="AO495" s="57"/>
    </row>
    <row r="496" spans="6:41">
      <c r="F496" s="31"/>
      <c r="N496" s="30"/>
      <c r="U496" s="31"/>
      <c r="AC496" s="31"/>
      <c r="AN496" s="32"/>
      <c r="AO496" s="57"/>
    </row>
    <row r="497" spans="6:41">
      <c r="F497" s="31"/>
      <c r="N497" s="30"/>
      <c r="U497" s="31"/>
      <c r="AC497" s="31"/>
      <c r="AN497" s="32"/>
      <c r="AO497" s="57"/>
    </row>
    <row r="498" spans="6:41">
      <c r="F498" s="31"/>
      <c r="N498" s="30"/>
      <c r="U498" s="31"/>
      <c r="AC498" s="31"/>
      <c r="AN498" s="32"/>
      <c r="AO498" s="57"/>
    </row>
    <row r="499" spans="6:41">
      <c r="F499" s="31"/>
      <c r="N499" s="30"/>
      <c r="U499" s="31"/>
      <c r="AC499" s="31"/>
      <c r="AN499" s="32"/>
      <c r="AO499" s="57"/>
    </row>
    <row r="500" spans="6:41">
      <c r="F500" s="31"/>
      <c r="N500" s="30"/>
      <c r="U500" s="31"/>
      <c r="AC500" s="31"/>
      <c r="AN500" s="32"/>
      <c r="AO500" s="57"/>
    </row>
    <row r="501" spans="6:41">
      <c r="F501" s="31"/>
      <c r="N501" s="30"/>
      <c r="U501" s="31"/>
      <c r="AC501" s="31"/>
      <c r="AN501" s="32"/>
      <c r="AO501" s="57"/>
    </row>
    <row r="502" spans="6:41">
      <c r="F502" s="31"/>
      <c r="N502" s="30"/>
      <c r="U502" s="31"/>
      <c r="AC502" s="31"/>
      <c r="AN502" s="32"/>
      <c r="AO502" s="57"/>
    </row>
    <row r="503" spans="6:41">
      <c r="F503" s="31"/>
      <c r="N503" s="30"/>
      <c r="U503" s="31"/>
      <c r="AC503" s="31"/>
      <c r="AN503" s="32"/>
      <c r="AO503" s="57"/>
    </row>
    <row r="504" spans="6:41">
      <c r="F504" s="31"/>
      <c r="N504" s="30"/>
      <c r="U504" s="31"/>
      <c r="AC504" s="31"/>
      <c r="AN504" s="32"/>
      <c r="AO504" s="57"/>
    </row>
    <row r="505" spans="6:41">
      <c r="F505" s="31"/>
      <c r="N505" s="30"/>
      <c r="U505" s="31"/>
      <c r="AC505" s="31"/>
      <c r="AN505" s="32"/>
      <c r="AO505" s="57"/>
    </row>
    <row r="506" spans="6:41">
      <c r="F506" s="31"/>
      <c r="N506" s="30"/>
      <c r="U506" s="31"/>
      <c r="AC506" s="31"/>
      <c r="AN506" s="32"/>
      <c r="AO506" s="57"/>
    </row>
    <row r="507" spans="6:41">
      <c r="F507" s="31"/>
      <c r="N507" s="30"/>
      <c r="U507" s="31"/>
      <c r="AC507" s="31"/>
      <c r="AN507" s="32"/>
      <c r="AO507" s="57"/>
    </row>
    <row r="508" spans="6:41">
      <c r="F508" s="31"/>
      <c r="N508" s="30"/>
      <c r="U508" s="31"/>
      <c r="AC508" s="31"/>
      <c r="AN508" s="32"/>
      <c r="AO508" s="57"/>
    </row>
    <row r="509" spans="6:41">
      <c r="F509" s="31"/>
      <c r="N509" s="30"/>
      <c r="U509" s="31"/>
      <c r="AC509" s="31"/>
      <c r="AN509" s="32"/>
      <c r="AO509" s="57"/>
    </row>
    <row r="510" spans="6:41">
      <c r="F510" s="31"/>
      <c r="N510" s="30"/>
      <c r="U510" s="31"/>
      <c r="AC510" s="31"/>
      <c r="AN510" s="32"/>
      <c r="AO510" s="57"/>
    </row>
    <row r="511" spans="6:41">
      <c r="F511" s="31"/>
      <c r="N511" s="30"/>
      <c r="U511" s="31"/>
      <c r="AC511" s="31"/>
      <c r="AN511" s="32"/>
      <c r="AO511" s="57"/>
    </row>
    <row r="512" spans="6:41">
      <c r="F512" s="31"/>
      <c r="N512" s="30"/>
      <c r="U512" s="31"/>
      <c r="AC512" s="31"/>
      <c r="AN512" s="32"/>
      <c r="AO512" s="57"/>
    </row>
    <row r="513" spans="6:41">
      <c r="F513" s="31"/>
      <c r="N513" s="30"/>
      <c r="U513" s="31"/>
      <c r="AC513" s="31"/>
      <c r="AN513" s="32"/>
      <c r="AO513" s="57"/>
    </row>
    <row r="514" spans="6:41">
      <c r="F514" s="31"/>
      <c r="N514" s="30"/>
      <c r="U514" s="31"/>
      <c r="AC514" s="31"/>
      <c r="AN514" s="32"/>
      <c r="AO514" s="57"/>
    </row>
    <row r="515" spans="6:41">
      <c r="F515" s="31"/>
      <c r="N515" s="30"/>
      <c r="U515" s="31"/>
      <c r="AC515" s="31"/>
      <c r="AN515" s="32"/>
      <c r="AO515" s="57"/>
    </row>
    <row r="516" spans="6:41">
      <c r="F516" s="31"/>
      <c r="N516" s="30"/>
      <c r="U516" s="31"/>
      <c r="AC516" s="31"/>
      <c r="AN516" s="32"/>
      <c r="AO516" s="57"/>
    </row>
    <row r="517" spans="6:41">
      <c r="F517" s="31"/>
      <c r="N517" s="30"/>
      <c r="U517" s="31"/>
      <c r="AC517" s="31"/>
      <c r="AN517" s="32"/>
      <c r="AO517" s="57"/>
    </row>
    <row r="518" spans="6:41">
      <c r="F518" s="31"/>
      <c r="N518" s="30"/>
      <c r="U518" s="31"/>
      <c r="AC518" s="31"/>
      <c r="AN518" s="32"/>
      <c r="AO518" s="57"/>
    </row>
    <row r="519" spans="6:41">
      <c r="F519" s="31"/>
      <c r="N519" s="30"/>
      <c r="U519" s="31"/>
      <c r="AC519" s="31"/>
      <c r="AN519" s="32"/>
      <c r="AO519" s="57"/>
    </row>
    <row r="520" spans="6:41">
      <c r="F520" s="31"/>
      <c r="N520" s="30"/>
      <c r="U520" s="31"/>
      <c r="AC520" s="31"/>
      <c r="AN520" s="32"/>
      <c r="AO520" s="57"/>
    </row>
    <row r="521" spans="6:41">
      <c r="F521" s="31"/>
      <c r="N521" s="30"/>
      <c r="U521" s="31"/>
      <c r="AC521" s="31"/>
      <c r="AN521" s="32"/>
      <c r="AO521" s="57"/>
    </row>
    <row r="522" spans="6:41">
      <c r="F522" s="31"/>
      <c r="N522" s="30"/>
      <c r="U522" s="31"/>
      <c r="AC522" s="31"/>
      <c r="AN522" s="32"/>
      <c r="AO522" s="57"/>
    </row>
    <row r="523" spans="6:41">
      <c r="F523" s="31"/>
      <c r="N523" s="30"/>
      <c r="U523" s="31"/>
      <c r="AC523" s="31"/>
      <c r="AN523" s="32"/>
      <c r="AO523" s="57"/>
    </row>
    <row r="524" spans="6:41">
      <c r="F524" s="31"/>
      <c r="N524" s="30"/>
      <c r="U524" s="31"/>
      <c r="AC524" s="31"/>
      <c r="AN524" s="32"/>
      <c r="AO524" s="57"/>
    </row>
    <row r="525" spans="6:41">
      <c r="F525" s="31"/>
      <c r="N525" s="30"/>
      <c r="U525" s="31"/>
      <c r="AC525" s="31"/>
      <c r="AN525" s="32"/>
      <c r="AO525" s="57"/>
    </row>
    <row r="526" spans="6:41">
      <c r="F526" s="31"/>
      <c r="N526" s="30"/>
      <c r="U526" s="31"/>
      <c r="AC526" s="31"/>
      <c r="AN526" s="32"/>
      <c r="AO526" s="57"/>
    </row>
    <row r="527" spans="6:41">
      <c r="F527" s="31"/>
      <c r="N527" s="30"/>
      <c r="U527" s="31"/>
      <c r="AC527" s="31"/>
      <c r="AN527" s="32"/>
      <c r="AO527" s="57"/>
    </row>
    <row r="528" spans="6:41">
      <c r="F528" s="31"/>
      <c r="N528" s="30"/>
      <c r="U528" s="31"/>
      <c r="AC528" s="31"/>
      <c r="AN528" s="32"/>
      <c r="AO528" s="57"/>
    </row>
    <row r="529" spans="6:41">
      <c r="F529" s="31"/>
      <c r="N529" s="30"/>
      <c r="U529" s="31"/>
      <c r="AC529" s="31"/>
      <c r="AN529" s="32"/>
      <c r="AO529" s="57"/>
    </row>
    <row r="530" spans="6:41">
      <c r="F530" s="31"/>
      <c r="N530" s="30"/>
      <c r="U530" s="31"/>
      <c r="AC530" s="31"/>
      <c r="AN530" s="32"/>
      <c r="AO530" s="57"/>
    </row>
    <row r="531" spans="6:41">
      <c r="F531" s="31"/>
      <c r="N531" s="30"/>
      <c r="U531" s="31"/>
      <c r="AC531" s="31"/>
      <c r="AN531" s="32"/>
      <c r="AO531" s="57"/>
    </row>
    <row r="532" spans="6:41">
      <c r="F532" s="31"/>
      <c r="N532" s="30"/>
      <c r="U532" s="31"/>
      <c r="AC532" s="31"/>
      <c r="AN532" s="32"/>
      <c r="AO532" s="57"/>
    </row>
    <row r="533" spans="6:41">
      <c r="F533" s="31"/>
      <c r="N533" s="30"/>
      <c r="U533" s="31"/>
      <c r="AC533" s="31"/>
      <c r="AN533" s="32"/>
      <c r="AO533" s="57"/>
    </row>
    <row r="534" spans="6:41">
      <c r="F534" s="31"/>
      <c r="N534" s="30"/>
      <c r="U534" s="31"/>
      <c r="AC534" s="31"/>
      <c r="AN534" s="32"/>
      <c r="AO534" s="57"/>
    </row>
    <row r="535" spans="6:41">
      <c r="F535" s="31"/>
      <c r="N535" s="30"/>
      <c r="U535" s="31"/>
      <c r="AC535" s="31"/>
      <c r="AN535" s="32"/>
      <c r="AO535" s="57"/>
    </row>
    <row r="536" spans="6:41">
      <c r="F536" s="31"/>
      <c r="N536" s="30"/>
      <c r="U536" s="31"/>
      <c r="AC536" s="31"/>
      <c r="AN536" s="32"/>
      <c r="AO536" s="57"/>
    </row>
    <row r="537" spans="6:41">
      <c r="F537" s="31"/>
      <c r="N537" s="30"/>
      <c r="U537" s="31"/>
      <c r="AC537" s="31"/>
      <c r="AN537" s="32"/>
      <c r="AO537" s="57"/>
    </row>
    <row r="538" spans="6:41">
      <c r="F538" s="31"/>
      <c r="N538" s="30"/>
      <c r="U538" s="31"/>
      <c r="AC538" s="31"/>
      <c r="AN538" s="32"/>
      <c r="AO538" s="57"/>
    </row>
    <row r="539" spans="6:41">
      <c r="F539" s="31"/>
      <c r="N539" s="30"/>
      <c r="U539" s="31"/>
      <c r="AC539" s="31"/>
      <c r="AN539" s="32"/>
      <c r="AO539" s="57"/>
    </row>
    <row r="540" spans="6:41">
      <c r="F540" s="31"/>
      <c r="N540" s="30"/>
      <c r="U540" s="31"/>
      <c r="AC540" s="31"/>
      <c r="AN540" s="32"/>
      <c r="AO540" s="57"/>
    </row>
    <row r="541" spans="6:41">
      <c r="F541" s="31"/>
      <c r="N541" s="30"/>
      <c r="U541" s="31"/>
      <c r="AC541" s="31"/>
      <c r="AN541" s="32"/>
      <c r="AO541" s="57"/>
    </row>
    <row r="542" spans="6:41">
      <c r="F542" s="31"/>
      <c r="N542" s="30"/>
      <c r="U542" s="31"/>
      <c r="AC542" s="31"/>
      <c r="AN542" s="32"/>
      <c r="AO542" s="57"/>
    </row>
    <row r="543" spans="6:41">
      <c r="F543" s="31"/>
      <c r="N543" s="30"/>
      <c r="U543" s="31"/>
      <c r="AC543" s="31"/>
      <c r="AN543" s="32"/>
      <c r="AO543" s="57"/>
    </row>
    <row r="544" spans="6:41">
      <c r="F544" s="31"/>
      <c r="N544" s="30"/>
      <c r="U544" s="31"/>
      <c r="AC544" s="31"/>
      <c r="AN544" s="32"/>
      <c r="AO544" s="57"/>
    </row>
    <row r="545" spans="6:41">
      <c r="F545" s="31"/>
      <c r="N545" s="30"/>
      <c r="U545" s="31"/>
      <c r="AC545" s="31"/>
      <c r="AN545" s="32"/>
      <c r="AO545" s="57"/>
    </row>
    <row r="546" spans="6:41">
      <c r="F546" s="31"/>
      <c r="N546" s="30"/>
      <c r="U546" s="31"/>
      <c r="AC546" s="31"/>
      <c r="AN546" s="32"/>
      <c r="AO546" s="57"/>
    </row>
    <row r="547" spans="6:41">
      <c r="F547" s="31"/>
      <c r="N547" s="30"/>
      <c r="U547" s="31"/>
      <c r="AC547" s="31"/>
      <c r="AN547" s="32"/>
      <c r="AO547" s="57"/>
    </row>
    <row r="548" spans="6:41">
      <c r="F548" s="31"/>
      <c r="N548" s="30"/>
      <c r="U548" s="31"/>
      <c r="AC548" s="31"/>
      <c r="AN548" s="32"/>
      <c r="AO548" s="57"/>
    </row>
    <row r="549" spans="6:41">
      <c r="F549" s="31"/>
      <c r="N549" s="30"/>
      <c r="U549" s="31"/>
      <c r="AC549" s="31"/>
      <c r="AN549" s="32"/>
      <c r="AO549" s="57"/>
    </row>
    <row r="550" spans="6:41">
      <c r="F550" s="31"/>
      <c r="N550" s="30"/>
      <c r="U550" s="31"/>
      <c r="AC550" s="31"/>
      <c r="AN550" s="32"/>
      <c r="AO550" s="57"/>
    </row>
    <row r="551" spans="6:41">
      <c r="F551" s="31"/>
      <c r="N551" s="30"/>
      <c r="U551" s="31"/>
      <c r="AC551" s="31"/>
      <c r="AN551" s="32"/>
      <c r="AO551" s="57"/>
    </row>
    <row r="552" spans="6:41">
      <c r="F552" s="31"/>
      <c r="N552" s="30"/>
      <c r="U552" s="31"/>
      <c r="AC552" s="31"/>
      <c r="AN552" s="32"/>
      <c r="AO552" s="57"/>
    </row>
    <row r="553" spans="6:41">
      <c r="F553" s="31"/>
      <c r="N553" s="30"/>
      <c r="U553" s="31"/>
      <c r="AC553" s="31"/>
      <c r="AN553" s="32"/>
      <c r="AO553" s="57"/>
    </row>
    <row r="554" spans="6:41">
      <c r="F554" s="31"/>
      <c r="N554" s="30"/>
      <c r="U554" s="31"/>
      <c r="AC554" s="31"/>
      <c r="AN554" s="32"/>
      <c r="AO554" s="57"/>
    </row>
    <row r="555" spans="6:41">
      <c r="F555" s="31"/>
      <c r="N555" s="30"/>
      <c r="U555" s="31"/>
      <c r="AC555" s="31"/>
      <c r="AN555" s="32"/>
      <c r="AO555" s="57"/>
    </row>
    <row r="556" spans="6:41">
      <c r="F556" s="31"/>
      <c r="N556" s="30"/>
      <c r="U556" s="31"/>
      <c r="AC556" s="31"/>
      <c r="AN556" s="32"/>
      <c r="AO556" s="57"/>
    </row>
    <row r="557" spans="6:41">
      <c r="F557" s="31"/>
      <c r="N557" s="30"/>
      <c r="U557" s="31"/>
      <c r="AC557" s="31"/>
      <c r="AN557" s="32"/>
      <c r="AO557" s="57"/>
    </row>
    <row r="558" spans="6:41">
      <c r="F558" s="31"/>
      <c r="N558" s="30"/>
      <c r="U558" s="31"/>
      <c r="AC558" s="31"/>
      <c r="AN558" s="32"/>
      <c r="AO558" s="57"/>
    </row>
    <row r="559" spans="6:41">
      <c r="F559" s="31"/>
      <c r="N559" s="30"/>
      <c r="U559" s="31"/>
      <c r="AC559" s="31"/>
      <c r="AN559" s="32"/>
      <c r="AO559" s="57"/>
    </row>
    <row r="560" spans="6:41">
      <c r="F560" s="31"/>
      <c r="N560" s="30"/>
      <c r="U560" s="31"/>
      <c r="AC560" s="31"/>
      <c r="AN560" s="32"/>
      <c r="AO560" s="57"/>
    </row>
    <row r="561" spans="6:41">
      <c r="F561" s="31"/>
      <c r="N561" s="30"/>
      <c r="U561" s="31"/>
      <c r="AC561" s="31"/>
      <c r="AN561" s="32"/>
      <c r="AO561" s="57"/>
    </row>
    <row r="562" spans="6:41">
      <c r="F562" s="31"/>
      <c r="N562" s="30"/>
      <c r="U562" s="31"/>
      <c r="AC562" s="31"/>
      <c r="AN562" s="32"/>
      <c r="AO562" s="57"/>
    </row>
    <row r="563" spans="6:41">
      <c r="F563" s="31"/>
      <c r="N563" s="30"/>
      <c r="U563" s="31"/>
      <c r="AC563" s="31"/>
      <c r="AN563" s="32"/>
      <c r="AO563" s="57"/>
    </row>
    <row r="564" spans="6:41">
      <c r="F564" s="31"/>
      <c r="N564" s="30"/>
      <c r="U564" s="31"/>
      <c r="AC564" s="31"/>
      <c r="AN564" s="32"/>
      <c r="AO564" s="57"/>
    </row>
    <row r="565" spans="6:41">
      <c r="F565" s="31"/>
      <c r="N565" s="30"/>
      <c r="U565" s="31"/>
      <c r="AC565" s="31"/>
      <c r="AN565" s="32"/>
      <c r="AO565" s="57"/>
    </row>
    <row r="566" spans="6:41">
      <c r="F566" s="31"/>
      <c r="N566" s="30"/>
      <c r="U566" s="31"/>
      <c r="AC566" s="31"/>
      <c r="AN566" s="32"/>
      <c r="AO566" s="57"/>
    </row>
    <row r="567" spans="6:41">
      <c r="F567" s="31"/>
      <c r="N567" s="30"/>
      <c r="U567" s="31"/>
      <c r="AC567" s="31"/>
      <c r="AN567" s="32"/>
      <c r="AO567" s="57"/>
    </row>
    <row r="568" spans="6:41">
      <c r="F568" s="31"/>
      <c r="N568" s="30"/>
      <c r="U568" s="31"/>
      <c r="AC568" s="31"/>
      <c r="AN568" s="32"/>
      <c r="AO568" s="57"/>
    </row>
    <row r="569" spans="6:41">
      <c r="F569" s="31"/>
      <c r="N569" s="30"/>
      <c r="U569" s="31"/>
      <c r="AC569" s="31"/>
      <c r="AN569" s="32"/>
      <c r="AO569" s="57"/>
    </row>
    <row r="570" spans="6:41">
      <c r="F570" s="31"/>
      <c r="N570" s="30"/>
      <c r="U570" s="31"/>
      <c r="AC570" s="31"/>
      <c r="AN570" s="32"/>
      <c r="AO570" s="57"/>
    </row>
    <row r="571" spans="6:41">
      <c r="F571" s="31"/>
      <c r="N571" s="30"/>
      <c r="U571" s="31"/>
      <c r="AC571" s="31"/>
      <c r="AN571" s="32"/>
      <c r="AO571" s="57"/>
    </row>
    <row r="572" spans="6:41">
      <c r="F572" s="31"/>
      <c r="N572" s="30"/>
      <c r="U572" s="31"/>
      <c r="AC572" s="31"/>
      <c r="AN572" s="32"/>
      <c r="AO572" s="57"/>
    </row>
    <row r="573" spans="6:41">
      <c r="F573" s="31"/>
      <c r="N573" s="30"/>
      <c r="U573" s="31"/>
      <c r="AC573" s="31"/>
      <c r="AN573" s="32"/>
      <c r="AO573" s="57"/>
    </row>
    <row r="574" spans="6:41">
      <c r="F574" s="31"/>
      <c r="N574" s="30"/>
      <c r="U574" s="31"/>
      <c r="AC574" s="31"/>
      <c r="AN574" s="32"/>
      <c r="AO574" s="57"/>
    </row>
    <row r="575" spans="6:41">
      <c r="F575" s="31"/>
      <c r="N575" s="30"/>
      <c r="U575" s="31"/>
      <c r="AC575" s="31"/>
      <c r="AN575" s="32"/>
      <c r="AO575" s="57"/>
    </row>
    <row r="576" spans="6:41">
      <c r="F576" s="31"/>
      <c r="N576" s="30"/>
      <c r="U576" s="31"/>
      <c r="AC576" s="31"/>
      <c r="AN576" s="32"/>
      <c r="AO576" s="57"/>
    </row>
    <row r="577" spans="6:41">
      <c r="F577" s="31"/>
      <c r="N577" s="30"/>
      <c r="U577" s="31"/>
      <c r="AC577" s="31"/>
      <c r="AN577" s="32"/>
      <c r="AO577" s="57"/>
    </row>
    <row r="578" spans="6:41">
      <c r="F578" s="31"/>
      <c r="N578" s="30"/>
      <c r="U578" s="31"/>
      <c r="AC578" s="31"/>
      <c r="AN578" s="32"/>
      <c r="AO578" s="57"/>
    </row>
    <row r="579" spans="6:41">
      <c r="F579" s="31"/>
      <c r="N579" s="30"/>
      <c r="U579" s="31"/>
      <c r="AC579" s="31"/>
      <c r="AN579" s="32"/>
      <c r="AO579" s="57"/>
    </row>
    <row r="580" spans="6:41">
      <c r="F580" s="31"/>
      <c r="N580" s="30"/>
      <c r="U580" s="31"/>
      <c r="AC580" s="31"/>
      <c r="AN580" s="32"/>
      <c r="AO580" s="57"/>
    </row>
    <row r="581" spans="6:41">
      <c r="F581" s="31"/>
      <c r="N581" s="30"/>
      <c r="U581" s="31"/>
      <c r="AC581" s="31"/>
      <c r="AN581" s="32"/>
      <c r="AO581" s="57"/>
    </row>
    <row r="582" spans="6:41">
      <c r="F582" s="31"/>
      <c r="N582" s="30"/>
      <c r="U582" s="31"/>
      <c r="AC582" s="31"/>
      <c r="AN582" s="32"/>
      <c r="AO582" s="57"/>
    </row>
    <row r="583" spans="6:41">
      <c r="F583" s="31"/>
      <c r="N583" s="30"/>
      <c r="U583" s="31"/>
      <c r="AC583" s="31"/>
      <c r="AN583" s="32"/>
      <c r="AO583" s="57"/>
    </row>
    <row r="584" spans="6:41">
      <c r="F584" s="31"/>
      <c r="N584" s="30"/>
      <c r="U584" s="31"/>
      <c r="AC584" s="31"/>
      <c r="AN584" s="32"/>
      <c r="AO584" s="57"/>
    </row>
    <row r="585" spans="6:41">
      <c r="F585" s="31"/>
      <c r="N585" s="30"/>
      <c r="U585" s="31"/>
      <c r="AC585" s="31"/>
      <c r="AN585" s="32"/>
      <c r="AO585" s="57"/>
    </row>
    <row r="586" spans="6:41">
      <c r="F586" s="31"/>
      <c r="N586" s="30"/>
      <c r="U586" s="31"/>
      <c r="AC586" s="31"/>
      <c r="AN586" s="32"/>
      <c r="AO586" s="57"/>
    </row>
    <row r="587" spans="6:41">
      <c r="F587" s="31"/>
      <c r="N587" s="30"/>
      <c r="U587" s="31"/>
      <c r="AC587" s="31"/>
      <c r="AN587" s="32"/>
      <c r="AO587" s="57"/>
    </row>
    <row r="588" spans="6:41">
      <c r="F588" s="31"/>
      <c r="N588" s="30"/>
      <c r="U588" s="31"/>
      <c r="AC588" s="31"/>
      <c r="AN588" s="32"/>
      <c r="AO588" s="57"/>
    </row>
    <row r="589" spans="6:41">
      <c r="F589" s="31"/>
      <c r="N589" s="30"/>
      <c r="U589" s="31"/>
      <c r="AC589" s="31"/>
      <c r="AN589" s="32"/>
      <c r="AO589" s="57"/>
    </row>
    <row r="590" spans="6:41">
      <c r="F590" s="31"/>
      <c r="N590" s="30"/>
      <c r="U590" s="31"/>
      <c r="AC590" s="31"/>
      <c r="AN590" s="32"/>
      <c r="AO590" s="57"/>
    </row>
    <row r="591" spans="6:41">
      <c r="F591" s="31"/>
      <c r="N591" s="30"/>
      <c r="U591" s="31"/>
      <c r="AC591" s="31"/>
      <c r="AN591" s="32"/>
      <c r="AO591" s="57"/>
    </row>
    <row r="592" spans="6:41">
      <c r="F592" s="31"/>
      <c r="N592" s="30"/>
      <c r="U592" s="31"/>
      <c r="AC592" s="31"/>
      <c r="AN592" s="32"/>
      <c r="AO592" s="57"/>
    </row>
    <row r="593" spans="6:41">
      <c r="F593" s="31"/>
      <c r="N593" s="30"/>
      <c r="U593" s="31"/>
      <c r="AC593" s="31"/>
      <c r="AN593" s="32"/>
      <c r="AO593" s="57"/>
    </row>
    <row r="594" spans="6:41">
      <c r="F594" s="31"/>
      <c r="N594" s="30"/>
      <c r="U594" s="31"/>
      <c r="AC594" s="31"/>
      <c r="AN594" s="32"/>
      <c r="AO594" s="57"/>
    </row>
    <row r="595" spans="6:41">
      <c r="F595" s="31"/>
      <c r="N595" s="30"/>
      <c r="U595" s="31"/>
      <c r="AC595" s="31"/>
      <c r="AN595" s="32"/>
      <c r="AO595" s="57"/>
    </row>
    <row r="596" spans="6:41">
      <c r="F596" s="31"/>
      <c r="N596" s="30"/>
      <c r="U596" s="31"/>
      <c r="AC596" s="31"/>
      <c r="AN596" s="32"/>
      <c r="AO596" s="57"/>
    </row>
    <row r="597" spans="6:41">
      <c r="F597" s="31"/>
      <c r="N597" s="30"/>
      <c r="U597" s="31"/>
      <c r="AC597" s="31"/>
      <c r="AN597" s="32"/>
      <c r="AO597" s="57"/>
    </row>
    <row r="598" spans="6:41">
      <c r="F598" s="31"/>
      <c r="N598" s="30"/>
      <c r="U598" s="31"/>
      <c r="AC598" s="31"/>
      <c r="AN598" s="32"/>
      <c r="AO598" s="57"/>
    </row>
    <row r="599" spans="6:41">
      <c r="F599" s="31"/>
      <c r="N599" s="30"/>
      <c r="U599" s="31"/>
      <c r="AC599" s="31"/>
      <c r="AN599" s="32"/>
      <c r="AO599" s="57"/>
    </row>
    <row r="600" spans="6:41">
      <c r="F600" s="31"/>
      <c r="N600" s="30"/>
      <c r="U600" s="31"/>
      <c r="AC600" s="31"/>
      <c r="AN600" s="32"/>
      <c r="AO600" s="57"/>
    </row>
    <row r="601" spans="6:41">
      <c r="F601" s="31"/>
      <c r="N601" s="30"/>
      <c r="U601" s="31"/>
      <c r="AC601" s="31"/>
      <c r="AN601" s="32"/>
      <c r="AO601" s="57"/>
    </row>
    <row r="602" spans="6:41">
      <c r="F602" s="31"/>
      <c r="N602" s="30"/>
      <c r="U602" s="31"/>
      <c r="AC602" s="31"/>
      <c r="AN602" s="32"/>
      <c r="AO602" s="57"/>
    </row>
    <row r="603" spans="6:41">
      <c r="F603" s="31"/>
      <c r="N603" s="30"/>
      <c r="U603" s="31"/>
      <c r="AC603" s="31"/>
      <c r="AN603" s="32"/>
      <c r="AO603" s="57"/>
    </row>
    <row r="604" spans="6:41">
      <c r="F604" s="31"/>
      <c r="N604" s="30"/>
      <c r="U604" s="31"/>
      <c r="AC604" s="31"/>
      <c r="AN604" s="32"/>
      <c r="AO604" s="57"/>
    </row>
    <row r="605" spans="6:41">
      <c r="F605" s="31"/>
      <c r="N605" s="30"/>
      <c r="U605" s="31"/>
      <c r="AC605" s="31"/>
      <c r="AN605" s="32"/>
      <c r="AO605" s="57"/>
    </row>
    <row r="606" spans="6:41">
      <c r="F606" s="31"/>
      <c r="N606" s="30"/>
      <c r="U606" s="31"/>
      <c r="AC606" s="31"/>
      <c r="AN606" s="32"/>
      <c r="AO606" s="57"/>
    </row>
    <row r="607" spans="6:41">
      <c r="F607" s="31"/>
      <c r="N607" s="30"/>
      <c r="U607" s="31"/>
      <c r="AC607" s="31"/>
      <c r="AN607" s="32"/>
      <c r="AO607" s="57"/>
    </row>
    <row r="608" spans="6:41">
      <c r="F608" s="31"/>
      <c r="N608" s="30"/>
      <c r="U608" s="31"/>
      <c r="AC608" s="31"/>
      <c r="AN608" s="32"/>
      <c r="AO608" s="57"/>
    </row>
    <row r="609" spans="6:41">
      <c r="F609" s="31"/>
      <c r="N609" s="30"/>
      <c r="U609" s="31"/>
      <c r="AC609" s="31"/>
      <c r="AN609" s="32"/>
      <c r="AO609" s="57"/>
    </row>
    <row r="610" spans="6:41">
      <c r="F610" s="31"/>
      <c r="N610" s="30"/>
      <c r="U610" s="31"/>
      <c r="AC610" s="31"/>
      <c r="AN610" s="32"/>
      <c r="AO610" s="57"/>
    </row>
    <row r="611" spans="6:41">
      <c r="F611" s="31"/>
      <c r="N611" s="30"/>
      <c r="U611" s="31"/>
      <c r="AC611" s="31"/>
      <c r="AN611" s="32"/>
      <c r="AO611" s="57"/>
    </row>
    <row r="612" spans="6:41">
      <c r="F612" s="31"/>
      <c r="N612" s="30"/>
      <c r="U612" s="31"/>
      <c r="AC612" s="31"/>
      <c r="AN612" s="32"/>
      <c r="AO612" s="57"/>
    </row>
    <row r="613" spans="6:41">
      <c r="F613" s="31"/>
      <c r="N613" s="30"/>
      <c r="U613" s="31"/>
      <c r="AC613" s="31"/>
      <c r="AN613" s="32"/>
      <c r="AO613" s="57"/>
    </row>
    <row r="614" spans="6:41">
      <c r="F614" s="31"/>
      <c r="N614" s="30"/>
      <c r="U614" s="31"/>
      <c r="AC614" s="31"/>
      <c r="AN614" s="32"/>
      <c r="AO614" s="57"/>
    </row>
    <row r="615" spans="6:41">
      <c r="F615" s="31"/>
      <c r="N615" s="30"/>
      <c r="U615" s="31"/>
      <c r="AC615" s="31"/>
      <c r="AN615" s="32"/>
      <c r="AO615" s="57"/>
    </row>
    <row r="616" spans="6:41">
      <c r="F616" s="31"/>
      <c r="N616" s="30"/>
      <c r="U616" s="31"/>
      <c r="AC616" s="31"/>
      <c r="AN616" s="32"/>
      <c r="AO616" s="57"/>
    </row>
    <row r="617" spans="6:41">
      <c r="F617" s="31"/>
      <c r="N617" s="30"/>
      <c r="U617" s="31"/>
      <c r="AC617" s="31"/>
      <c r="AN617" s="32"/>
      <c r="AO617" s="57"/>
    </row>
    <row r="618" spans="6:41">
      <c r="F618" s="31"/>
      <c r="N618" s="30"/>
      <c r="U618" s="31"/>
      <c r="AC618" s="31"/>
      <c r="AN618" s="32"/>
      <c r="AO618" s="57"/>
    </row>
    <row r="619" spans="6:41">
      <c r="F619" s="31"/>
      <c r="N619" s="30"/>
      <c r="U619" s="31"/>
      <c r="AC619" s="31"/>
      <c r="AN619" s="32"/>
      <c r="AO619" s="57"/>
    </row>
    <row r="620" spans="6:41">
      <c r="F620" s="31"/>
      <c r="N620" s="30"/>
      <c r="U620" s="31"/>
      <c r="AC620" s="31"/>
      <c r="AN620" s="32"/>
      <c r="AO620" s="57"/>
    </row>
    <row r="621" spans="6:41">
      <c r="F621" s="31"/>
      <c r="N621" s="30"/>
      <c r="U621" s="31"/>
      <c r="AC621" s="31"/>
      <c r="AN621" s="32"/>
      <c r="AO621" s="57"/>
    </row>
    <row r="622" spans="6:41">
      <c r="F622" s="31"/>
      <c r="N622" s="30"/>
      <c r="U622" s="31"/>
      <c r="AC622" s="31"/>
      <c r="AN622" s="32"/>
      <c r="AO622" s="57"/>
    </row>
    <row r="623" spans="6:41">
      <c r="F623" s="31"/>
      <c r="N623" s="30"/>
      <c r="U623" s="31"/>
      <c r="AC623" s="31"/>
      <c r="AN623" s="32"/>
      <c r="AO623" s="57"/>
    </row>
    <row r="624" spans="6:41">
      <c r="F624" s="31"/>
      <c r="N624" s="30"/>
      <c r="U624" s="31"/>
      <c r="AC624" s="31"/>
      <c r="AN624" s="32"/>
      <c r="AO624" s="57"/>
    </row>
    <row r="625" spans="6:41">
      <c r="F625" s="31"/>
      <c r="N625" s="30"/>
      <c r="U625" s="31"/>
      <c r="AC625" s="31"/>
      <c r="AN625" s="32"/>
      <c r="AO625" s="57"/>
    </row>
    <row r="626" spans="6:41">
      <c r="F626" s="31"/>
      <c r="N626" s="30"/>
      <c r="U626" s="31"/>
      <c r="AC626" s="31"/>
      <c r="AN626" s="32"/>
      <c r="AO626" s="57"/>
    </row>
    <row r="627" spans="6:41">
      <c r="F627" s="31"/>
      <c r="N627" s="30"/>
      <c r="U627" s="31"/>
      <c r="AC627" s="31"/>
      <c r="AN627" s="32"/>
      <c r="AO627" s="57"/>
    </row>
    <row r="628" spans="6:41">
      <c r="F628" s="31"/>
      <c r="N628" s="30"/>
      <c r="U628" s="31"/>
      <c r="AC628" s="31"/>
      <c r="AN628" s="32"/>
      <c r="AO628" s="57"/>
    </row>
    <row r="629" spans="6:41">
      <c r="F629" s="31"/>
      <c r="N629" s="30"/>
      <c r="U629" s="31"/>
      <c r="AC629" s="31"/>
      <c r="AN629" s="32"/>
      <c r="AO629" s="57"/>
    </row>
    <row r="630" spans="6:41">
      <c r="F630" s="31"/>
      <c r="N630" s="30"/>
      <c r="U630" s="31"/>
      <c r="AC630" s="31"/>
      <c r="AN630" s="32"/>
      <c r="AO630" s="57"/>
    </row>
    <row r="631" spans="6:41">
      <c r="F631" s="31"/>
      <c r="N631" s="30"/>
      <c r="U631" s="31"/>
      <c r="AC631" s="31"/>
      <c r="AN631" s="32"/>
      <c r="AO631" s="57"/>
    </row>
    <row r="632" spans="6:41">
      <c r="F632" s="31"/>
      <c r="N632" s="30"/>
      <c r="U632" s="31"/>
      <c r="AC632" s="31"/>
      <c r="AN632" s="32"/>
      <c r="AO632" s="57"/>
    </row>
    <row r="633" spans="6:41">
      <c r="F633" s="31"/>
      <c r="N633" s="30"/>
      <c r="U633" s="31"/>
      <c r="AC633" s="31"/>
      <c r="AN633" s="32"/>
      <c r="AO633" s="57"/>
    </row>
    <row r="634" spans="6:41">
      <c r="F634" s="31"/>
      <c r="N634" s="30"/>
      <c r="U634" s="31"/>
      <c r="AC634" s="31"/>
      <c r="AN634" s="32"/>
      <c r="AO634" s="57"/>
    </row>
    <row r="635" spans="6:41">
      <c r="F635" s="31"/>
      <c r="N635" s="30"/>
      <c r="U635" s="31"/>
      <c r="AC635" s="31"/>
      <c r="AN635" s="32"/>
      <c r="AO635" s="57"/>
    </row>
    <row r="636" spans="6:41">
      <c r="F636" s="31"/>
      <c r="N636" s="30"/>
      <c r="U636" s="31"/>
      <c r="AC636" s="31"/>
      <c r="AN636" s="32"/>
      <c r="AO636" s="57"/>
    </row>
    <row r="637" spans="6:41">
      <c r="F637" s="31"/>
      <c r="N637" s="30"/>
      <c r="U637" s="31"/>
      <c r="AC637" s="31"/>
      <c r="AN637" s="32"/>
      <c r="AO637" s="57"/>
    </row>
    <row r="638" spans="6:41">
      <c r="F638" s="31"/>
      <c r="N638" s="30"/>
      <c r="U638" s="31"/>
      <c r="AC638" s="31"/>
      <c r="AN638" s="32"/>
      <c r="AO638" s="57"/>
    </row>
    <row r="639" spans="6:41">
      <c r="F639" s="31"/>
      <c r="N639" s="30"/>
      <c r="U639" s="31"/>
      <c r="AC639" s="31"/>
      <c r="AN639" s="32"/>
      <c r="AO639" s="57"/>
    </row>
    <row r="640" spans="6:41">
      <c r="F640" s="31"/>
      <c r="N640" s="30"/>
      <c r="U640" s="31"/>
      <c r="AC640" s="31"/>
      <c r="AN640" s="32"/>
      <c r="AO640" s="57"/>
    </row>
    <row r="641" spans="6:41">
      <c r="F641" s="31"/>
      <c r="N641" s="30"/>
      <c r="U641" s="31"/>
      <c r="AC641" s="31"/>
      <c r="AN641" s="32"/>
      <c r="AO641" s="57"/>
    </row>
    <row r="642" spans="6:41">
      <c r="F642" s="31"/>
      <c r="N642" s="30"/>
      <c r="U642" s="31"/>
      <c r="AC642" s="31"/>
      <c r="AN642" s="32"/>
      <c r="AO642" s="57"/>
    </row>
    <row r="643" spans="6:41">
      <c r="F643" s="31"/>
      <c r="N643" s="30"/>
      <c r="U643" s="31"/>
      <c r="AC643" s="31"/>
      <c r="AN643" s="32"/>
      <c r="AO643" s="57"/>
    </row>
    <row r="644" spans="6:41">
      <c r="F644" s="31"/>
      <c r="N644" s="30"/>
      <c r="U644" s="31"/>
      <c r="AC644" s="31"/>
      <c r="AN644" s="32"/>
      <c r="AO644" s="57"/>
    </row>
    <row r="645" spans="6:41">
      <c r="F645" s="31"/>
      <c r="N645" s="30"/>
      <c r="U645" s="31"/>
      <c r="AC645" s="31"/>
      <c r="AN645" s="32"/>
      <c r="AO645" s="57"/>
    </row>
    <row r="646" spans="6:41">
      <c r="F646" s="31"/>
      <c r="N646" s="30"/>
      <c r="U646" s="31"/>
      <c r="AC646" s="31"/>
      <c r="AN646" s="32"/>
      <c r="AO646" s="57"/>
    </row>
    <row r="647" spans="6:41">
      <c r="F647" s="31"/>
      <c r="N647" s="30"/>
      <c r="U647" s="31"/>
      <c r="AC647" s="31"/>
      <c r="AN647" s="32"/>
      <c r="AO647" s="57"/>
    </row>
    <row r="648" spans="6:41">
      <c r="F648" s="31"/>
      <c r="N648" s="30"/>
      <c r="U648" s="31"/>
      <c r="AC648" s="31"/>
      <c r="AN648" s="32"/>
      <c r="AO648" s="57"/>
    </row>
    <row r="649" spans="6:41">
      <c r="F649" s="31"/>
      <c r="N649" s="30"/>
      <c r="U649" s="31"/>
      <c r="AC649" s="31"/>
      <c r="AN649" s="32"/>
      <c r="AO649" s="57"/>
    </row>
    <row r="650" spans="6:41">
      <c r="F650" s="31"/>
      <c r="N650" s="30"/>
      <c r="U650" s="31"/>
      <c r="AC650" s="31"/>
      <c r="AN650" s="32"/>
      <c r="AO650" s="57"/>
    </row>
    <row r="651" spans="6:41">
      <c r="F651" s="31"/>
      <c r="N651" s="30"/>
      <c r="U651" s="31"/>
      <c r="AC651" s="31"/>
      <c r="AN651" s="32"/>
      <c r="AO651" s="57"/>
    </row>
    <row r="652" spans="6:41">
      <c r="F652" s="31"/>
      <c r="N652" s="30"/>
      <c r="U652" s="31"/>
      <c r="AC652" s="31"/>
      <c r="AN652" s="32"/>
      <c r="AO652" s="57"/>
    </row>
    <row r="653" spans="6:41">
      <c r="F653" s="31"/>
      <c r="N653" s="30"/>
      <c r="U653" s="31"/>
      <c r="AC653" s="31"/>
      <c r="AN653" s="32"/>
      <c r="AO653" s="57"/>
    </row>
    <row r="654" spans="6:41">
      <c r="F654" s="31"/>
      <c r="N654" s="30"/>
      <c r="U654" s="31"/>
      <c r="AC654" s="31"/>
      <c r="AN654" s="32"/>
      <c r="AO654" s="57"/>
    </row>
    <row r="655" spans="6:41">
      <c r="F655" s="31"/>
      <c r="N655" s="30"/>
      <c r="U655" s="31"/>
      <c r="AC655" s="31"/>
      <c r="AN655" s="32"/>
      <c r="AO655" s="57"/>
    </row>
    <row r="656" spans="6:41">
      <c r="F656" s="31"/>
      <c r="N656" s="30"/>
      <c r="U656" s="31"/>
      <c r="AC656" s="31"/>
      <c r="AN656" s="32"/>
      <c r="AO656" s="57"/>
    </row>
    <row r="657" spans="6:41">
      <c r="F657" s="31"/>
      <c r="N657" s="30"/>
      <c r="U657" s="31"/>
      <c r="AC657" s="31"/>
      <c r="AN657" s="32"/>
      <c r="AO657" s="57"/>
    </row>
    <row r="658" spans="6:41">
      <c r="F658" s="31"/>
      <c r="N658" s="30"/>
      <c r="U658" s="31"/>
      <c r="AC658" s="31"/>
      <c r="AN658" s="32"/>
      <c r="AO658" s="57"/>
    </row>
    <row r="659" spans="6:41">
      <c r="F659" s="31"/>
      <c r="N659" s="30"/>
      <c r="U659" s="31"/>
      <c r="AC659" s="31"/>
      <c r="AN659" s="32"/>
      <c r="AO659" s="57"/>
    </row>
    <row r="660" spans="6:41">
      <c r="F660" s="31"/>
      <c r="N660" s="30"/>
      <c r="U660" s="31"/>
      <c r="AC660" s="31"/>
      <c r="AN660" s="32"/>
      <c r="AO660" s="57"/>
    </row>
    <row r="661" spans="6:41">
      <c r="F661" s="31"/>
      <c r="N661" s="30"/>
      <c r="U661" s="31"/>
      <c r="AC661" s="31"/>
      <c r="AN661" s="32"/>
      <c r="AO661" s="57"/>
    </row>
    <row r="662" spans="6:41">
      <c r="F662" s="31"/>
      <c r="N662" s="30"/>
      <c r="U662" s="31"/>
      <c r="AC662" s="31"/>
      <c r="AN662" s="32"/>
      <c r="AO662" s="57"/>
    </row>
    <row r="663" spans="6:41">
      <c r="F663" s="31"/>
      <c r="N663" s="30"/>
      <c r="U663" s="31"/>
      <c r="AC663" s="31"/>
      <c r="AN663" s="32"/>
      <c r="AO663" s="57"/>
    </row>
    <row r="664" spans="6:41">
      <c r="F664" s="31"/>
      <c r="N664" s="30"/>
      <c r="U664" s="31"/>
      <c r="AC664" s="31"/>
      <c r="AN664" s="32"/>
      <c r="AO664" s="57"/>
    </row>
    <row r="665" spans="6:41">
      <c r="F665" s="31"/>
      <c r="N665" s="30"/>
      <c r="U665" s="31"/>
      <c r="AC665" s="31"/>
      <c r="AN665" s="32"/>
      <c r="AO665" s="57"/>
    </row>
    <row r="666" spans="6:41">
      <c r="F666" s="31"/>
      <c r="N666" s="30"/>
      <c r="U666" s="31"/>
      <c r="AC666" s="31"/>
      <c r="AN666" s="32"/>
      <c r="AO666" s="57"/>
    </row>
    <row r="667" spans="6:41">
      <c r="F667" s="31"/>
      <c r="N667" s="30"/>
      <c r="U667" s="31"/>
      <c r="AC667" s="31"/>
      <c r="AN667" s="32"/>
      <c r="AO667" s="57"/>
    </row>
    <row r="668" spans="6:41">
      <c r="F668" s="31"/>
      <c r="N668" s="30"/>
      <c r="U668" s="31"/>
      <c r="AC668" s="31"/>
      <c r="AN668" s="32"/>
      <c r="AO668" s="57"/>
    </row>
    <row r="669" spans="6:41">
      <c r="F669" s="31"/>
      <c r="N669" s="30"/>
      <c r="U669" s="31"/>
      <c r="AC669" s="31"/>
      <c r="AN669" s="32"/>
      <c r="AO669" s="57"/>
    </row>
    <row r="670" spans="6:41">
      <c r="F670" s="31"/>
      <c r="N670" s="30"/>
      <c r="U670" s="31"/>
      <c r="AC670" s="31"/>
      <c r="AN670" s="32"/>
      <c r="AO670" s="57"/>
    </row>
    <row r="671" spans="6:41">
      <c r="F671" s="31"/>
      <c r="N671" s="30"/>
      <c r="U671" s="31"/>
      <c r="AC671" s="31"/>
      <c r="AN671" s="32"/>
      <c r="AO671" s="57"/>
    </row>
    <row r="672" spans="6:41">
      <c r="F672" s="31"/>
      <c r="N672" s="30"/>
      <c r="U672" s="31"/>
      <c r="AC672" s="31"/>
      <c r="AN672" s="32"/>
      <c r="AO672" s="57"/>
    </row>
    <row r="673" spans="6:41">
      <c r="F673" s="31"/>
      <c r="N673" s="30"/>
      <c r="U673" s="31"/>
      <c r="AC673" s="31"/>
      <c r="AN673" s="32"/>
      <c r="AO673" s="57"/>
    </row>
    <row r="674" spans="6:41">
      <c r="F674" s="31"/>
      <c r="N674" s="30"/>
      <c r="U674" s="31"/>
      <c r="AC674" s="31"/>
      <c r="AN674" s="32"/>
      <c r="AO674" s="57"/>
    </row>
    <row r="675" spans="6:41">
      <c r="F675" s="31"/>
      <c r="N675" s="30"/>
      <c r="U675" s="31"/>
      <c r="AC675" s="31"/>
      <c r="AN675" s="32"/>
      <c r="AO675" s="57"/>
    </row>
    <row r="676" spans="6:41">
      <c r="F676" s="31"/>
      <c r="N676" s="30"/>
      <c r="U676" s="31"/>
      <c r="AC676" s="31"/>
      <c r="AN676" s="32"/>
      <c r="AO676" s="57"/>
    </row>
    <row r="677" spans="6:41">
      <c r="F677" s="31"/>
      <c r="N677" s="30"/>
      <c r="U677" s="31"/>
      <c r="AC677" s="31"/>
      <c r="AN677" s="32"/>
      <c r="AO677" s="57"/>
    </row>
    <row r="678" spans="6:41">
      <c r="F678" s="31"/>
      <c r="N678" s="30"/>
      <c r="U678" s="31"/>
      <c r="AC678" s="31"/>
      <c r="AN678" s="32"/>
      <c r="AO678" s="57"/>
    </row>
    <row r="679" spans="6:41">
      <c r="F679" s="31"/>
      <c r="N679" s="30"/>
      <c r="U679" s="31"/>
      <c r="AC679" s="31"/>
      <c r="AN679" s="32"/>
      <c r="AO679" s="57"/>
    </row>
    <row r="680" spans="6:41">
      <c r="F680" s="31"/>
      <c r="N680" s="30"/>
      <c r="U680" s="31"/>
      <c r="AC680" s="31"/>
      <c r="AN680" s="32"/>
      <c r="AO680" s="57"/>
    </row>
    <row r="681" spans="6:41">
      <c r="F681" s="31"/>
      <c r="N681" s="30"/>
      <c r="U681" s="31"/>
      <c r="AC681" s="31"/>
      <c r="AN681" s="32"/>
      <c r="AO681" s="57"/>
    </row>
    <row r="682" spans="6:41">
      <c r="F682" s="31"/>
      <c r="N682" s="30"/>
      <c r="U682" s="31"/>
      <c r="AC682" s="31"/>
      <c r="AN682" s="32"/>
      <c r="AO682" s="57"/>
    </row>
    <row r="683" spans="6:41">
      <c r="F683" s="31"/>
      <c r="N683" s="30"/>
      <c r="U683" s="31"/>
      <c r="AC683" s="31"/>
      <c r="AN683" s="32"/>
      <c r="AO683" s="57"/>
    </row>
    <row r="684" spans="6:41">
      <c r="F684" s="31"/>
      <c r="N684" s="30"/>
      <c r="U684" s="31"/>
      <c r="AC684" s="31"/>
      <c r="AN684" s="32"/>
      <c r="AO684" s="57"/>
    </row>
    <row r="685" spans="6:41">
      <c r="F685" s="31"/>
      <c r="N685" s="30"/>
      <c r="U685" s="31"/>
      <c r="AC685" s="31"/>
      <c r="AN685" s="32"/>
      <c r="AO685" s="57"/>
    </row>
    <row r="686" spans="6:41">
      <c r="F686" s="31"/>
      <c r="N686" s="30"/>
      <c r="U686" s="31"/>
      <c r="AC686" s="31"/>
      <c r="AN686" s="32"/>
      <c r="AO686" s="57"/>
    </row>
    <row r="687" spans="6:41">
      <c r="F687" s="31"/>
      <c r="N687" s="30"/>
      <c r="U687" s="31"/>
      <c r="AC687" s="31"/>
      <c r="AN687" s="32"/>
      <c r="AO687" s="57"/>
    </row>
    <row r="688" spans="6:41">
      <c r="F688" s="31"/>
      <c r="N688" s="30"/>
      <c r="U688" s="31"/>
      <c r="AC688" s="31"/>
      <c r="AN688" s="32"/>
      <c r="AO688" s="57"/>
    </row>
    <row r="689" spans="6:41">
      <c r="F689" s="31"/>
      <c r="N689" s="30"/>
      <c r="U689" s="31"/>
      <c r="AC689" s="31"/>
      <c r="AN689" s="32"/>
      <c r="AO689" s="57"/>
    </row>
    <row r="690" spans="6:41">
      <c r="F690" s="31"/>
      <c r="N690" s="30"/>
      <c r="U690" s="31"/>
      <c r="AC690" s="31"/>
      <c r="AN690" s="32"/>
      <c r="AO690" s="57"/>
    </row>
    <row r="691" spans="6:41">
      <c r="F691" s="31"/>
      <c r="N691" s="30"/>
      <c r="U691" s="31"/>
      <c r="AC691" s="31"/>
      <c r="AN691" s="32"/>
      <c r="AO691" s="57"/>
    </row>
    <row r="692" spans="6:41">
      <c r="F692" s="31"/>
      <c r="N692" s="30"/>
      <c r="U692" s="31"/>
      <c r="AC692" s="31"/>
      <c r="AN692" s="32"/>
      <c r="AO692" s="57"/>
    </row>
    <row r="693" spans="6:41">
      <c r="F693" s="31"/>
      <c r="N693" s="30"/>
      <c r="U693" s="31"/>
      <c r="AC693" s="31"/>
      <c r="AN693" s="32"/>
      <c r="AO693" s="57"/>
    </row>
    <row r="694" spans="6:41">
      <c r="F694" s="31"/>
      <c r="N694" s="30"/>
      <c r="U694" s="31"/>
      <c r="AC694" s="31"/>
      <c r="AN694" s="32"/>
      <c r="AO694" s="57"/>
    </row>
    <row r="695" spans="6:41">
      <c r="F695" s="31"/>
      <c r="N695" s="30"/>
      <c r="U695" s="31"/>
      <c r="AC695" s="31"/>
      <c r="AN695" s="32"/>
      <c r="AO695" s="57"/>
    </row>
    <row r="696" spans="6:41">
      <c r="F696" s="31"/>
      <c r="N696" s="30"/>
      <c r="U696" s="31"/>
      <c r="AC696" s="31"/>
      <c r="AN696" s="32"/>
      <c r="AO696" s="57"/>
    </row>
    <row r="697" spans="6:41">
      <c r="F697" s="31"/>
      <c r="N697" s="30"/>
      <c r="U697" s="31"/>
      <c r="AC697" s="31"/>
      <c r="AN697" s="32"/>
      <c r="AO697" s="57"/>
    </row>
    <row r="698" spans="6:41">
      <c r="F698" s="31"/>
      <c r="N698" s="30"/>
      <c r="U698" s="31"/>
      <c r="AC698" s="31"/>
      <c r="AN698" s="32"/>
      <c r="AO698" s="57"/>
    </row>
    <row r="699" spans="6:41">
      <c r="F699" s="31"/>
      <c r="N699" s="30"/>
      <c r="U699" s="31"/>
      <c r="AC699" s="31"/>
      <c r="AN699" s="32"/>
      <c r="AO699" s="57"/>
    </row>
    <row r="700" spans="6:41">
      <c r="F700" s="31"/>
      <c r="N700" s="30"/>
      <c r="U700" s="31"/>
      <c r="AC700" s="31"/>
      <c r="AN700" s="32"/>
      <c r="AO700" s="57"/>
    </row>
    <row r="701" spans="6:41">
      <c r="F701" s="31"/>
      <c r="N701" s="30"/>
      <c r="U701" s="31"/>
      <c r="AC701" s="31"/>
      <c r="AN701" s="32"/>
      <c r="AO701" s="57"/>
    </row>
    <row r="702" spans="6:41">
      <c r="F702" s="31"/>
      <c r="N702" s="30"/>
      <c r="U702" s="31"/>
      <c r="AC702" s="31"/>
      <c r="AN702" s="32"/>
      <c r="AO702" s="57"/>
    </row>
    <row r="703" spans="6:41">
      <c r="F703" s="31"/>
      <c r="N703" s="30"/>
      <c r="U703" s="31"/>
      <c r="AC703" s="31"/>
      <c r="AN703" s="32"/>
      <c r="AO703" s="57"/>
    </row>
    <row r="704" spans="6:41">
      <c r="F704" s="31"/>
      <c r="N704" s="30"/>
      <c r="U704" s="31"/>
      <c r="AC704" s="31"/>
      <c r="AN704" s="32"/>
      <c r="AO704" s="57"/>
    </row>
    <row r="705" spans="6:41">
      <c r="F705" s="31"/>
      <c r="N705" s="30"/>
      <c r="U705" s="31"/>
      <c r="AC705" s="31"/>
      <c r="AN705" s="32"/>
      <c r="AO705" s="57"/>
    </row>
    <row r="706" spans="6:41">
      <c r="F706" s="31"/>
      <c r="N706" s="30"/>
      <c r="U706" s="31"/>
      <c r="AC706" s="31"/>
      <c r="AN706" s="32"/>
      <c r="AO706" s="57"/>
    </row>
    <row r="707" spans="6:41">
      <c r="F707" s="31"/>
      <c r="N707" s="30"/>
      <c r="U707" s="31"/>
      <c r="AC707" s="31"/>
      <c r="AN707" s="32"/>
      <c r="AO707" s="57"/>
    </row>
    <row r="708" spans="6:41">
      <c r="F708" s="31"/>
      <c r="N708" s="30"/>
      <c r="U708" s="31"/>
      <c r="AC708" s="31"/>
      <c r="AN708" s="32"/>
      <c r="AO708" s="57"/>
    </row>
    <row r="709" spans="6:41">
      <c r="F709" s="31"/>
      <c r="N709" s="30"/>
      <c r="U709" s="31"/>
      <c r="AC709" s="31"/>
      <c r="AN709" s="32"/>
      <c r="AO709" s="57"/>
    </row>
    <row r="710" spans="6:41">
      <c r="F710" s="31"/>
      <c r="N710" s="30"/>
      <c r="U710" s="31"/>
      <c r="AC710" s="31"/>
      <c r="AN710" s="32"/>
      <c r="AO710" s="57"/>
    </row>
    <row r="711" spans="6:41">
      <c r="F711" s="31"/>
      <c r="N711" s="30"/>
      <c r="U711" s="31"/>
      <c r="AC711" s="31"/>
      <c r="AN711" s="32"/>
      <c r="AO711" s="57"/>
    </row>
    <row r="712" spans="6:41">
      <c r="F712" s="31"/>
      <c r="N712" s="30"/>
      <c r="U712" s="31"/>
      <c r="AC712" s="31"/>
      <c r="AN712" s="32"/>
      <c r="AO712" s="57"/>
    </row>
    <row r="713" spans="6:41">
      <c r="F713" s="31"/>
      <c r="N713" s="30"/>
      <c r="U713" s="31"/>
      <c r="AC713" s="31"/>
      <c r="AN713" s="32"/>
      <c r="AO713" s="57"/>
    </row>
    <row r="714" spans="6:41">
      <c r="F714" s="31"/>
      <c r="N714" s="30"/>
      <c r="U714" s="31"/>
      <c r="AC714" s="31"/>
      <c r="AN714" s="32"/>
      <c r="AO714" s="57"/>
    </row>
    <row r="715" spans="6:41">
      <c r="F715" s="31"/>
      <c r="N715" s="30"/>
      <c r="U715" s="31"/>
      <c r="AC715" s="31"/>
      <c r="AN715" s="32"/>
      <c r="AO715" s="57"/>
    </row>
    <row r="716" spans="6:41">
      <c r="F716" s="31"/>
      <c r="N716" s="30"/>
      <c r="U716" s="31"/>
      <c r="AC716" s="31"/>
      <c r="AN716" s="32"/>
      <c r="AO716" s="57"/>
    </row>
    <row r="717" spans="6:41">
      <c r="F717" s="31"/>
      <c r="N717" s="30"/>
      <c r="U717" s="31"/>
      <c r="AC717" s="31"/>
      <c r="AN717" s="32"/>
      <c r="AO717" s="57"/>
    </row>
    <row r="718" spans="6:41">
      <c r="F718" s="31"/>
      <c r="N718" s="30"/>
      <c r="U718" s="31"/>
      <c r="AC718" s="31"/>
      <c r="AN718" s="32"/>
      <c r="AO718" s="57"/>
    </row>
    <row r="719" spans="6:41">
      <c r="F719" s="31"/>
      <c r="N719" s="30"/>
      <c r="U719" s="31"/>
      <c r="AC719" s="31"/>
      <c r="AN719" s="32"/>
      <c r="AO719" s="57"/>
    </row>
    <row r="720" spans="6:41">
      <c r="F720" s="31"/>
      <c r="N720" s="30"/>
      <c r="U720" s="31"/>
      <c r="AC720" s="31"/>
      <c r="AN720" s="32"/>
      <c r="AO720" s="57"/>
    </row>
    <row r="721" spans="6:41">
      <c r="F721" s="31"/>
      <c r="N721" s="30"/>
      <c r="U721" s="31"/>
      <c r="AC721" s="31"/>
      <c r="AN721" s="32"/>
      <c r="AO721" s="57"/>
    </row>
    <row r="722" spans="6:41">
      <c r="F722" s="31"/>
      <c r="N722" s="30"/>
      <c r="U722" s="31"/>
      <c r="AC722" s="31"/>
      <c r="AN722" s="32"/>
      <c r="AO722" s="57"/>
    </row>
    <row r="723" spans="6:41">
      <c r="F723" s="31"/>
      <c r="N723" s="30"/>
      <c r="U723" s="31"/>
      <c r="AC723" s="31"/>
      <c r="AN723" s="32"/>
      <c r="AO723" s="57"/>
    </row>
    <row r="724" spans="6:41">
      <c r="F724" s="31"/>
      <c r="N724" s="30"/>
      <c r="U724" s="31"/>
      <c r="AC724" s="31"/>
      <c r="AN724" s="32"/>
      <c r="AO724" s="57"/>
    </row>
    <row r="725" spans="6:41">
      <c r="F725" s="31"/>
      <c r="N725" s="30"/>
      <c r="U725" s="31"/>
      <c r="AC725" s="31"/>
      <c r="AN725" s="32"/>
      <c r="AO725" s="57"/>
    </row>
    <row r="726" spans="6:41">
      <c r="F726" s="31"/>
      <c r="N726" s="30"/>
      <c r="U726" s="31"/>
      <c r="AC726" s="31"/>
      <c r="AN726" s="32"/>
      <c r="AO726" s="57"/>
    </row>
    <row r="727" spans="6:41">
      <c r="F727" s="31"/>
      <c r="N727" s="30"/>
      <c r="U727" s="31"/>
      <c r="AC727" s="31"/>
      <c r="AN727" s="32"/>
      <c r="AO727" s="57"/>
    </row>
    <row r="728" spans="6:41">
      <c r="F728" s="31"/>
      <c r="N728" s="30"/>
      <c r="U728" s="31"/>
      <c r="AC728" s="31"/>
      <c r="AN728" s="32"/>
      <c r="AO728" s="57"/>
    </row>
    <row r="729" spans="6:41">
      <c r="F729" s="31"/>
      <c r="N729" s="30"/>
      <c r="U729" s="31"/>
      <c r="AC729" s="31"/>
      <c r="AN729" s="32"/>
      <c r="AO729" s="57"/>
    </row>
    <row r="730" spans="6:41">
      <c r="F730" s="31"/>
      <c r="N730" s="30"/>
      <c r="U730" s="31"/>
      <c r="AC730" s="31"/>
      <c r="AN730" s="32"/>
      <c r="AO730" s="57"/>
    </row>
    <row r="731" spans="6:41">
      <c r="F731" s="31"/>
      <c r="N731" s="30"/>
      <c r="U731" s="31"/>
      <c r="AC731" s="31"/>
      <c r="AN731" s="32"/>
      <c r="AO731" s="57"/>
    </row>
    <row r="732" spans="6:41">
      <c r="F732" s="31"/>
      <c r="N732" s="30"/>
      <c r="U732" s="31"/>
      <c r="AC732" s="31"/>
      <c r="AN732" s="32"/>
      <c r="AO732" s="57"/>
    </row>
    <row r="733" spans="6:41">
      <c r="F733" s="31"/>
      <c r="N733" s="30"/>
      <c r="U733" s="31"/>
      <c r="AC733" s="31"/>
      <c r="AN733" s="32"/>
      <c r="AO733" s="57"/>
    </row>
    <row r="734" spans="6:41">
      <c r="F734" s="31"/>
      <c r="N734" s="30"/>
      <c r="U734" s="31"/>
      <c r="AC734" s="31"/>
      <c r="AN734" s="32"/>
      <c r="AO734" s="57"/>
    </row>
    <row r="735" spans="6:41">
      <c r="F735" s="31"/>
      <c r="N735" s="30"/>
      <c r="U735" s="31"/>
      <c r="AC735" s="31"/>
      <c r="AN735" s="32"/>
      <c r="AO735" s="57"/>
    </row>
    <row r="736" spans="6:41">
      <c r="F736" s="31"/>
      <c r="N736" s="30"/>
      <c r="U736" s="31"/>
      <c r="AC736" s="31"/>
      <c r="AN736" s="32"/>
      <c r="AO736" s="57"/>
    </row>
    <row r="737" spans="6:41">
      <c r="F737" s="31"/>
      <c r="N737" s="30"/>
      <c r="U737" s="31"/>
      <c r="AC737" s="31"/>
      <c r="AN737" s="32"/>
      <c r="AO737" s="57"/>
    </row>
    <row r="738" spans="6:41">
      <c r="F738" s="31"/>
      <c r="N738" s="30"/>
      <c r="U738" s="31"/>
      <c r="AC738" s="31"/>
      <c r="AN738" s="32"/>
      <c r="AO738" s="57"/>
    </row>
    <row r="739" spans="6:41">
      <c r="F739" s="31"/>
      <c r="N739" s="30"/>
      <c r="U739" s="31"/>
      <c r="AC739" s="31"/>
      <c r="AN739" s="32"/>
      <c r="AO739" s="57"/>
    </row>
    <row r="740" spans="6:41">
      <c r="F740" s="31"/>
      <c r="N740" s="30"/>
      <c r="U740" s="31"/>
      <c r="AC740" s="31"/>
      <c r="AN740" s="32"/>
      <c r="AO740" s="57"/>
    </row>
    <row r="741" spans="6:41">
      <c r="F741" s="31"/>
      <c r="N741" s="30"/>
      <c r="U741" s="31"/>
      <c r="AC741" s="31"/>
      <c r="AN741" s="32"/>
      <c r="AO741" s="57"/>
    </row>
    <row r="742" spans="6:41">
      <c r="F742" s="31"/>
      <c r="N742" s="30"/>
      <c r="U742" s="31"/>
      <c r="AC742" s="31"/>
      <c r="AN742" s="32"/>
      <c r="AO742" s="57"/>
    </row>
    <row r="743" spans="6:41">
      <c r="F743" s="31"/>
      <c r="N743" s="30"/>
      <c r="U743" s="31"/>
      <c r="AC743" s="31"/>
      <c r="AN743" s="32"/>
      <c r="AO743" s="57"/>
    </row>
    <row r="744" spans="6:41">
      <c r="F744" s="31"/>
      <c r="N744" s="30"/>
      <c r="U744" s="31"/>
      <c r="AC744" s="31"/>
      <c r="AN744" s="32"/>
      <c r="AO744" s="57"/>
    </row>
    <row r="745" spans="6:41">
      <c r="F745" s="31"/>
      <c r="N745" s="30"/>
      <c r="U745" s="31"/>
      <c r="AC745" s="31"/>
      <c r="AN745" s="32"/>
      <c r="AO745" s="57"/>
    </row>
    <row r="746" spans="6:41">
      <c r="F746" s="31"/>
      <c r="N746" s="30"/>
      <c r="U746" s="31"/>
      <c r="AC746" s="31"/>
      <c r="AN746" s="32"/>
      <c r="AO746" s="57"/>
    </row>
    <row r="747" spans="6:41">
      <c r="F747" s="31"/>
      <c r="N747" s="30"/>
      <c r="U747" s="31"/>
      <c r="AC747" s="31"/>
      <c r="AN747" s="32"/>
      <c r="AO747" s="57"/>
    </row>
    <row r="748" spans="6:41">
      <c r="F748" s="31"/>
      <c r="N748" s="30"/>
      <c r="U748" s="31"/>
      <c r="AC748" s="31"/>
      <c r="AN748" s="32"/>
      <c r="AO748" s="57"/>
    </row>
    <row r="749" spans="6:41">
      <c r="F749" s="31"/>
      <c r="N749" s="30"/>
      <c r="U749" s="31"/>
      <c r="AC749" s="31"/>
      <c r="AN749" s="32"/>
      <c r="AO749" s="57"/>
    </row>
    <row r="750" spans="6:41">
      <c r="F750" s="31"/>
      <c r="N750" s="30"/>
      <c r="U750" s="31"/>
      <c r="AC750" s="31"/>
      <c r="AN750" s="32"/>
      <c r="AO750" s="57"/>
    </row>
    <row r="751" spans="6:41">
      <c r="F751" s="31"/>
      <c r="N751" s="30"/>
      <c r="U751" s="31"/>
      <c r="AC751" s="31"/>
      <c r="AN751" s="32"/>
      <c r="AO751" s="57"/>
    </row>
    <row r="752" spans="6:41">
      <c r="F752" s="31"/>
      <c r="N752" s="30"/>
      <c r="U752" s="31"/>
      <c r="AC752" s="31"/>
      <c r="AN752" s="32"/>
      <c r="AO752" s="57"/>
    </row>
    <row r="753" spans="6:41">
      <c r="F753" s="31"/>
      <c r="N753" s="30"/>
      <c r="U753" s="31"/>
      <c r="AC753" s="31"/>
      <c r="AN753" s="32"/>
      <c r="AO753" s="57"/>
    </row>
    <row r="754" spans="6:41">
      <c r="F754" s="31"/>
      <c r="N754" s="30"/>
      <c r="U754" s="31"/>
      <c r="AC754" s="31"/>
      <c r="AN754" s="32"/>
      <c r="AO754" s="57"/>
    </row>
    <row r="755" spans="6:41">
      <c r="F755" s="31"/>
      <c r="N755" s="30"/>
      <c r="U755" s="31"/>
      <c r="AC755" s="31"/>
      <c r="AN755" s="32"/>
      <c r="AO755" s="57"/>
    </row>
    <row r="756" spans="6:41">
      <c r="F756" s="31"/>
      <c r="N756" s="30"/>
      <c r="U756" s="31"/>
      <c r="AC756" s="31"/>
      <c r="AN756" s="32"/>
      <c r="AO756" s="57"/>
    </row>
    <row r="757" spans="6:41">
      <c r="F757" s="31"/>
      <c r="N757" s="30"/>
      <c r="U757" s="31"/>
      <c r="AC757" s="31"/>
      <c r="AN757" s="32"/>
      <c r="AO757" s="57"/>
    </row>
    <row r="758" spans="6:41">
      <c r="F758" s="31"/>
      <c r="N758" s="30"/>
      <c r="U758" s="31"/>
      <c r="AC758" s="31"/>
      <c r="AN758" s="32"/>
      <c r="AO758" s="57"/>
    </row>
    <row r="759" spans="6:41">
      <c r="F759" s="31"/>
      <c r="N759" s="30"/>
      <c r="U759" s="31"/>
      <c r="AC759" s="31"/>
      <c r="AN759" s="32"/>
      <c r="AO759" s="57"/>
    </row>
    <row r="760" spans="6:41">
      <c r="F760" s="31"/>
      <c r="N760" s="30"/>
      <c r="U760" s="31"/>
      <c r="AC760" s="31"/>
      <c r="AN760" s="32"/>
      <c r="AO760" s="57"/>
    </row>
    <row r="761" spans="6:41">
      <c r="F761" s="31"/>
      <c r="N761" s="30"/>
      <c r="U761" s="31"/>
      <c r="AC761" s="31"/>
      <c r="AN761" s="32"/>
      <c r="AO761" s="57"/>
    </row>
    <row r="762" spans="6:41">
      <c r="F762" s="31"/>
      <c r="N762" s="30"/>
      <c r="U762" s="31"/>
      <c r="AC762" s="31"/>
      <c r="AN762" s="32"/>
      <c r="AO762" s="57"/>
    </row>
    <row r="763" spans="6:41">
      <c r="F763" s="31"/>
      <c r="N763" s="30"/>
      <c r="U763" s="31"/>
      <c r="AC763" s="31"/>
      <c r="AN763" s="32"/>
      <c r="AO763" s="57"/>
    </row>
    <row r="764" spans="6:41">
      <c r="F764" s="31"/>
      <c r="N764" s="30"/>
      <c r="U764" s="31"/>
      <c r="AC764" s="31"/>
      <c r="AN764" s="32"/>
      <c r="AO764" s="57"/>
    </row>
    <row r="765" spans="6:41">
      <c r="F765" s="31"/>
      <c r="N765" s="30"/>
      <c r="U765" s="31"/>
      <c r="AC765" s="31"/>
      <c r="AN765" s="32"/>
      <c r="AO765" s="57"/>
    </row>
    <row r="766" spans="6:41">
      <c r="F766" s="31"/>
      <c r="N766" s="30"/>
      <c r="U766" s="31"/>
      <c r="AC766" s="31"/>
      <c r="AN766" s="32"/>
      <c r="AO766" s="57"/>
    </row>
    <row r="767" spans="6:41">
      <c r="F767" s="31"/>
      <c r="N767" s="30"/>
      <c r="U767" s="31"/>
      <c r="AC767" s="31"/>
      <c r="AN767" s="32"/>
      <c r="AO767" s="57"/>
    </row>
    <row r="768" spans="6:41">
      <c r="F768" s="31"/>
      <c r="N768" s="30"/>
      <c r="U768" s="31"/>
      <c r="AC768" s="31"/>
      <c r="AN768" s="32"/>
      <c r="AO768" s="57"/>
    </row>
    <row r="769" spans="6:41">
      <c r="F769" s="31"/>
      <c r="N769" s="30"/>
      <c r="U769" s="31"/>
      <c r="AC769" s="31"/>
      <c r="AN769" s="32"/>
      <c r="AO769" s="57"/>
    </row>
    <row r="770" spans="6:41">
      <c r="F770" s="31"/>
      <c r="N770" s="30"/>
      <c r="U770" s="31"/>
      <c r="AC770" s="31"/>
      <c r="AN770" s="32"/>
      <c r="AO770" s="57"/>
    </row>
    <row r="771" spans="6:41">
      <c r="F771" s="31"/>
      <c r="N771" s="30"/>
      <c r="U771" s="31"/>
      <c r="AC771" s="31"/>
      <c r="AN771" s="32"/>
      <c r="AO771" s="57"/>
    </row>
    <row r="772" spans="6:41">
      <c r="F772" s="31"/>
      <c r="N772" s="30"/>
      <c r="U772" s="31"/>
      <c r="AC772" s="31"/>
      <c r="AN772" s="32"/>
      <c r="AO772" s="57"/>
    </row>
    <row r="773" spans="6:41">
      <c r="F773" s="31"/>
      <c r="N773" s="30"/>
      <c r="U773" s="31"/>
      <c r="AC773" s="31"/>
      <c r="AN773" s="32"/>
      <c r="AO773" s="57"/>
    </row>
    <row r="774" spans="6:41">
      <c r="F774" s="31"/>
      <c r="N774" s="30"/>
      <c r="U774" s="31"/>
      <c r="AC774" s="31"/>
      <c r="AN774" s="32"/>
      <c r="AO774" s="57"/>
    </row>
    <row r="775" spans="6:41">
      <c r="F775" s="31"/>
      <c r="N775" s="30"/>
      <c r="U775" s="31"/>
      <c r="AC775" s="31"/>
      <c r="AN775" s="32"/>
      <c r="AO775" s="57"/>
    </row>
    <row r="776" spans="6:41">
      <c r="F776" s="31"/>
      <c r="N776" s="30"/>
      <c r="U776" s="31"/>
      <c r="AC776" s="31"/>
      <c r="AN776" s="32"/>
      <c r="AO776" s="57"/>
    </row>
    <row r="777" spans="6:41">
      <c r="F777" s="31"/>
      <c r="N777" s="30"/>
      <c r="U777" s="31"/>
      <c r="AC777" s="31"/>
      <c r="AN777" s="32"/>
      <c r="AO777" s="57"/>
    </row>
    <row r="778" spans="6:41">
      <c r="F778" s="31"/>
      <c r="N778" s="30"/>
      <c r="U778" s="31"/>
      <c r="AC778" s="31"/>
      <c r="AN778" s="32"/>
      <c r="AO778" s="57"/>
    </row>
    <row r="779" spans="6:41">
      <c r="F779" s="31"/>
      <c r="N779" s="30"/>
      <c r="U779" s="31"/>
      <c r="AC779" s="31"/>
      <c r="AN779" s="32"/>
      <c r="AO779" s="57"/>
    </row>
    <row r="780" spans="6:41">
      <c r="F780" s="31"/>
      <c r="N780" s="30"/>
      <c r="U780" s="31"/>
      <c r="AC780" s="31"/>
      <c r="AN780" s="32"/>
      <c r="AO780" s="57"/>
    </row>
    <row r="781" spans="6:41">
      <c r="F781" s="31"/>
      <c r="N781" s="30"/>
      <c r="U781" s="31"/>
      <c r="AC781" s="31"/>
      <c r="AN781" s="32"/>
      <c r="AO781" s="57"/>
    </row>
    <row r="782" spans="6:41">
      <c r="F782" s="31"/>
      <c r="N782" s="30"/>
      <c r="U782" s="31"/>
      <c r="AC782" s="31"/>
      <c r="AN782" s="32"/>
      <c r="AO782" s="57"/>
    </row>
    <row r="783" spans="6:41">
      <c r="F783" s="31"/>
      <c r="N783" s="30"/>
      <c r="U783" s="31"/>
      <c r="AC783" s="31"/>
      <c r="AN783" s="32"/>
      <c r="AO783" s="57"/>
    </row>
    <row r="784" spans="6:41">
      <c r="F784" s="31"/>
      <c r="N784" s="30"/>
      <c r="U784" s="31"/>
      <c r="AC784" s="31"/>
      <c r="AN784" s="32"/>
      <c r="AO784" s="57"/>
    </row>
    <row r="785" spans="6:41">
      <c r="F785" s="31"/>
      <c r="N785" s="30"/>
      <c r="U785" s="31"/>
      <c r="AC785" s="31"/>
      <c r="AN785" s="32"/>
      <c r="AO785" s="57"/>
    </row>
    <row r="786" spans="6:41">
      <c r="F786" s="31"/>
      <c r="N786" s="30"/>
      <c r="U786" s="31"/>
      <c r="AC786" s="31"/>
      <c r="AN786" s="32"/>
      <c r="AO786" s="57"/>
    </row>
    <row r="787" spans="6:41">
      <c r="F787" s="31"/>
      <c r="N787" s="30"/>
      <c r="U787" s="31"/>
      <c r="AC787" s="31"/>
      <c r="AN787" s="32"/>
      <c r="AO787" s="57"/>
    </row>
    <row r="788" spans="6:41">
      <c r="F788" s="31"/>
      <c r="N788" s="30"/>
      <c r="U788" s="31"/>
      <c r="AC788" s="31"/>
      <c r="AN788" s="32"/>
      <c r="AO788" s="57"/>
    </row>
    <row r="789" spans="6:41">
      <c r="F789" s="31"/>
      <c r="N789" s="30"/>
      <c r="U789" s="31"/>
      <c r="AC789" s="31"/>
      <c r="AN789" s="32"/>
      <c r="AO789" s="57"/>
    </row>
    <row r="790" spans="6:41">
      <c r="F790" s="31"/>
      <c r="N790" s="30"/>
      <c r="U790" s="31"/>
      <c r="AC790" s="31"/>
      <c r="AN790" s="32"/>
      <c r="AO790" s="57"/>
    </row>
    <row r="791" spans="6:41">
      <c r="F791" s="31"/>
      <c r="N791" s="30"/>
      <c r="U791" s="31"/>
      <c r="AC791" s="31"/>
      <c r="AN791" s="32"/>
      <c r="AO791" s="57"/>
    </row>
    <row r="792" spans="6:41">
      <c r="F792" s="31"/>
      <c r="N792" s="30"/>
      <c r="U792" s="31"/>
      <c r="AC792" s="31"/>
      <c r="AN792" s="32"/>
      <c r="AO792" s="57"/>
    </row>
    <row r="793" spans="6:41">
      <c r="F793" s="31"/>
      <c r="N793" s="30"/>
      <c r="U793" s="31"/>
      <c r="AC793" s="31"/>
      <c r="AN793" s="32"/>
      <c r="AO793" s="57"/>
    </row>
    <row r="794" spans="6:41">
      <c r="F794" s="31"/>
      <c r="N794" s="30"/>
      <c r="U794" s="31"/>
      <c r="AC794" s="31"/>
      <c r="AN794" s="32"/>
      <c r="AO794" s="57"/>
    </row>
    <row r="795" spans="6:41">
      <c r="F795" s="31"/>
      <c r="N795" s="30"/>
      <c r="U795" s="31"/>
      <c r="AC795" s="31"/>
      <c r="AN795" s="32"/>
      <c r="AO795" s="57"/>
    </row>
    <row r="796" spans="6:41">
      <c r="F796" s="31"/>
      <c r="N796" s="30"/>
      <c r="U796" s="31"/>
      <c r="AC796" s="31"/>
      <c r="AN796" s="32"/>
      <c r="AO796" s="57"/>
    </row>
    <row r="797" spans="6:41">
      <c r="F797" s="31"/>
      <c r="N797" s="30"/>
      <c r="U797" s="31"/>
      <c r="AC797" s="31"/>
      <c r="AN797" s="32"/>
      <c r="AO797" s="57"/>
    </row>
    <row r="798" spans="6:41">
      <c r="F798" s="31"/>
      <c r="N798" s="30"/>
      <c r="U798" s="31"/>
      <c r="AC798" s="31"/>
      <c r="AN798" s="32"/>
      <c r="AO798" s="57"/>
    </row>
    <row r="799" spans="6:41">
      <c r="F799" s="31"/>
      <c r="N799" s="30"/>
      <c r="U799" s="31"/>
      <c r="AC799" s="31"/>
      <c r="AN799" s="32"/>
      <c r="AO799" s="57"/>
    </row>
    <row r="800" spans="6:41">
      <c r="F800" s="31"/>
      <c r="N800" s="30"/>
      <c r="U800" s="31"/>
      <c r="AC800" s="31"/>
      <c r="AN800" s="32"/>
      <c r="AO800" s="57"/>
    </row>
    <row r="801" spans="6:41">
      <c r="F801" s="31"/>
      <c r="N801" s="30"/>
      <c r="U801" s="31"/>
      <c r="AC801" s="31"/>
      <c r="AN801" s="32"/>
      <c r="AO801" s="57"/>
    </row>
    <row r="802" spans="6:41">
      <c r="F802" s="31"/>
      <c r="N802" s="30"/>
      <c r="U802" s="31"/>
      <c r="AC802" s="31"/>
      <c r="AN802" s="32"/>
      <c r="AO802" s="57"/>
    </row>
    <row r="803" spans="6:41">
      <c r="F803" s="31"/>
      <c r="N803" s="30"/>
      <c r="U803" s="31"/>
      <c r="AC803" s="31"/>
      <c r="AN803" s="32"/>
      <c r="AO803" s="57"/>
    </row>
    <row r="804" spans="6:41">
      <c r="F804" s="31"/>
      <c r="N804" s="30"/>
      <c r="U804" s="31"/>
      <c r="AC804" s="31"/>
      <c r="AN804" s="32"/>
      <c r="AO804" s="57"/>
    </row>
    <row r="805" spans="6:41">
      <c r="F805" s="31"/>
      <c r="N805" s="30"/>
      <c r="U805" s="31"/>
      <c r="AC805" s="31"/>
      <c r="AN805" s="32"/>
      <c r="AO805" s="57"/>
    </row>
    <row r="806" spans="6:41">
      <c r="F806" s="31"/>
      <c r="N806" s="30"/>
      <c r="U806" s="31"/>
      <c r="AC806" s="31"/>
      <c r="AN806" s="32"/>
      <c r="AO806" s="57"/>
    </row>
    <row r="807" spans="6:41">
      <c r="F807" s="31"/>
      <c r="N807" s="30"/>
      <c r="U807" s="31"/>
      <c r="AC807" s="31"/>
      <c r="AN807" s="32"/>
      <c r="AO807" s="57"/>
    </row>
    <row r="808" spans="6:41">
      <c r="F808" s="31"/>
      <c r="N808" s="30"/>
      <c r="U808" s="31"/>
      <c r="AC808" s="31"/>
      <c r="AN808" s="32"/>
      <c r="AO808" s="57"/>
    </row>
    <row r="809" spans="6:41">
      <c r="F809" s="31"/>
      <c r="N809" s="30"/>
      <c r="U809" s="31"/>
      <c r="AC809" s="31"/>
      <c r="AN809" s="32"/>
      <c r="AO809" s="57"/>
    </row>
    <row r="810" spans="6:41">
      <c r="F810" s="31"/>
      <c r="N810" s="30"/>
      <c r="U810" s="31"/>
      <c r="AC810" s="31"/>
      <c r="AN810" s="32"/>
      <c r="AO810" s="57"/>
    </row>
    <row r="811" spans="6:41">
      <c r="F811" s="31"/>
      <c r="N811" s="30"/>
      <c r="U811" s="31"/>
      <c r="AC811" s="31"/>
      <c r="AN811" s="32"/>
      <c r="AO811" s="57"/>
    </row>
    <row r="812" spans="6:41">
      <c r="F812" s="31"/>
      <c r="N812" s="30"/>
      <c r="U812" s="31"/>
      <c r="AC812" s="31"/>
      <c r="AN812" s="32"/>
      <c r="AO812" s="57"/>
    </row>
    <row r="813" spans="6:41">
      <c r="F813" s="31"/>
      <c r="N813" s="30"/>
      <c r="U813" s="31"/>
      <c r="AC813" s="31"/>
      <c r="AN813" s="32"/>
      <c r="AO813" s="57"/>
    </row>
    <row r="814" spans="6:41">
      <c r="F814" s="31"/>
      <c r="N814" s="30"/>
      <c r="U814" s="31"/>
      <c r="AC814" s="31"/>
      <c r="AN814" s="32"/>
      <c r="AO814" s="57"/>
    </row>
    <row r="815" spans="6:41">
      <c r="F815" s="31"/>
      <c r="N815" s="30"/>
      <c r="U815" s="31"/>
      <c r="AC815" s="31"/>
      <c r="AN815" s="32"/>
      <c r="AO815" s="57"/>
    </row>
    <row r="816" spans="6:41">
      <c r="F816" s="31"/>
      <c r="N816" s="30"/>
      <c r="U816" s="31"/>
      <c r="AC816" s="31"/>
      <c r="AN816" s="32"/>
      <c r="AO816" s="57"/>
    </row>
    <row r="817" spans="6:41">
      <c r="F817" s="31"/>
      <c r="N817" s="30"/>
      <c r="U817" s="31"/>
      <c r="AC817" s="31"/>
      <c r="AN817" s="32"/>
      <c r="AO817" s="57"/>
    </row>
    <row r="818" spans="6:41">
      <c r="F818" s="31"/>
      <c r="N818" s="30"/>
      <c r="U818" s="31"/>
      <c r="AC818" s="31"/>
      <c r="AN818" s="32"/>
      <c r="AO818" s="57"/>
    </row>
    <row r="819" spans="6:41">
      <c r="F819" s="31"/>
      <c r="N819" s="30"/>
      <c r="U819" s="31"/>
      <c r="AC819" s="31"/>
      <c r="AN819" s="32"/>
      <c r="AO819" s="57"/>
    </row>
    <row r="820" spans="6:41">
      <c r="F820" s="31"/>
      <c r="N820" s="30"/>
      <c r="U820" s="31"/>
      <c r="AC820" s="31"/>
      <c r="AN820" s="32"/>
      <c r="AO820" s="57"/>
    </row>
    <row r="821" spans="6:41">
      <c r="F821" s="31"/>
      <c r="N821" s="30"/>
      <c r="U821" s="31"/>
      <c r="AC821" s="31"/>
      <c r="AN821" s="32"/>
      <c r="AO821" s="57"/>
    </row>
    <row r="822" spans="6:41">
      <c r="F822" s="31"/>
      <c r="N822" s="30"/>
      <c r="U822" s="31"/>
      <c r="AC822" s="31"/>
      <c r="AN822" s="32"/>
      <c r="AO822" s="57"/>
    </row>
    <row r="823" spans="6:41">
      <c r="F823" s="31"/>
      <c r="N823" s="30"/>
      <c r="U823" s="31"/>
      <c r="AC823" s="31"/>
      <c r="AN823" s="32"/>
      <c r="AO823" s="57"/>
    </row>
    <row r="824" spans="6:41">
      <c r="F824" s="31"/>
      <c r="N824" s="30"/>
      <c r="U824" s="31"/>
      <c r="AC824" s="31"/>
      <c r="AN824" s="32"/>
      <c r="AO824" s="57"/>
    </row>
    <row r="825" spans="6:41">
      <c r="F825" s="31"/>
      <c r="N825" s="30"/>
      <c r="U825" s="31"/>
      <c r="AC825" s="31"/>
      <c r="AN825" s="32"/>
      <c r="AO825" s="57"/>
    </row>
    <row r="826" spans="6:41">
      <c r="F826" s="31"/>
      <c r="N826" s="30"/>
      <c r="U826" s="31"/>
      <c r="AC826" s="31"/>
      <c r="AN826" s="32"/>
      <c r="AO826" s="57"/>
    </row>
    <row r="827" spans="6:41">
      <c r="F827" s="31"/>
      <c r="N827" s="30"/>
      <c r="U827" s="31"/>
      <c r="AC827" s="31"/>
      <c r="AN827" s="32"/>
      <c r="AO827" s="57"/>
    </row>
    <row r="828" spans="6:41">
      <c r="F828" s="31"/>
      <c r="N828" s="30"/>
      <c r="U828" s="31"/>
      <c r="AC828" s="31"/>
      <c r="AN828" s="32"/>
      <c r="AO828" s="57"/>
    </row>
    <row r="829" spans="6:41">
      <c r="F829" s="31"/>
      <c r="N829" s="30"/>
      <c r="U829" s="31"/>
      <c r="AC829" s="31"/>
      <c r="AN829" s="32"/>
      <c r="AO829" s="57"/>
    </row>
    <row r="830" spans="6:41">
      <c r="F830" s="31"/>
      <c r="N830" s="30"/>
      <c r="U830" s="31"/>
      <c r="AC830" s="31"/>
      <c r="AN830" s="32"/>
      <c r="AO830" s="57"/>
    </row>
    <row r="831" spans="6:41">
      <c r="F831" s="31"/>
      <c r="N831" s="30"/>
      <c r="U831" s="31"/>
      <c r="AC831" s="31"/>
      <c r="AN831" s="32"/>
      <c r="AO831" s="57"/>
    </row>
    <row r="832" spans="6:41">
      <c r="F832" s="31"/>
      <c r="N832" s="30"/>
      <c r="U832" s="31"/>
      <c r="AC832" s="31"/>
      <c r="AN832" s="32"/>
      <c r="AO832" s="57"/>
    </row>
    <row r="833" spans="6:41">
      <c r="F833" s="31"/>
      <c r="N833" s="30"/>
      <c r="U833" s="31"/>
      <c r="AC833" s="31"/>
      <c r="AN833" s="32"/>
      <c r="AO833" s="57"/>
    </row>
    <row r="834" spans="6:41">
      <c r="F834" s="31"/>
      <c r="N834" s="30"/>
      <c r="U834" s="31"/>
      <c r="AC834" s="31"/>
      <c r="AN834" s="32"/>
      <c r="AO834" s="57"/>
    </row>
    <row r="835" spans="6:41">
      <c r="F835" s="31"/>
      <c r="N835" s="30"/>
      <c r="U835" s="31"/>
      <c r="AC835" s="31"/>
      <c r="AN835" s="32"/>
      <c r="AO835" s="57"/>
    </row>
    <row r="836" spans="6:41">
      <c r="F836" s="31"/>
      <c r="N836" s="30"/>
      <c r="U836" s="31"/>
      <c r="AC836" s="31"/>
      <c r="AN836" s="32"/>
      <c r="AO836" s="57"/>
    </row>
    <row r="837" spans="6:41">
      <c r="F837" s="31"/>
      <c r="N837" s="30"/>
      <c r="U837" s="31"/>
      <c r="AC837" s="31"/>
      <c r="AN837" s="32"/>
      <c r="AO837" s="57"/>
    </row>
    <row r="838" spans="6:41">
      <c r="F838" s="31"/>
      <c r="N838" s="30"/>
      <c r="U838" s="31"/>
      <c r="AC838" s="31"/>
      <c r="AN838" s="32"/>
      <c r="AO838" s="57"/>
    </row>
    <row r="839" spans="6:41">
      <c r="F839" s="31"/>
      <c r="N839" s="30"/>
      <c r="U839" s="31"/>
      <c r="AC839" s="31"/>
      <c r="AN839" s="32"/>
      <c r="AO839" s="57"/>
    </row>
    <row r="840" spans="6:41">
      <c r="F840" s="31"/>
      <c r="N840" s="30"/>
      <c r="U840" s="31"/>
      <c r="AC840" s="31"/>
      <c r="AN840" s="32"/>
      <c r="AO840" s="57"/>
    </row>
    <row r="841" spans="6:41">
      <c r="F841" s="31"/>
      <c r="N841" s="30"/>
      <c r="U841" s="31"/>
      <c r="AC841" s="31"/>
      <c r="AN841" s="32"/>
      <c r="AO841" s="57"/>
    </row>
    <row r="842" spans="6:41">
      <c r="F842" s="31"/>
      <c r="N842" s="30"/>
      <c r="U842" s="31"/>
      <c r="AC842" s="31"/>
      <c r="AN842" s="32"/>
      <c r="AO842" s="57"/>
    </row>
    <row r="843" spans="6:41">
      <c r="F843" s="31"/>
      <c r="N843" s="30"/>
      <c r="U843" s="31"/>
      <c r="AC843" s="31"/>
      <c r="AN843" s="32"/>
      <c r="AO843" s="57"/>
    </row>
    <row r="844" spans="6:41">
      <c r="F844" s="31"/>
      <c r="N844" s="30"/>
      <c r="U844" s="31"/>
      <c r="AC844" s="31"/>
      <c r="AN844" s="32"/>
      <c r="AO844" s="57"/>
    </row>
    <row r="845" spans="6:41">
      <c r="F845" s="31"/>
      <c r="N845" s="30"/>
      <c r="U845" s="31"/>
      <c r="AC845" s="31"/>
      <c r="AN845" s="32"/>
      <c r="AO845" s="57"/>
    </row>
    <row r="846" spans="6:41">
      <c r="F846" s="31"/>
      <c r="N846" s="30"/>
      <c r="U846" s="31"/>
      <c r="AC846" s="31"/>
      <c r="AN846" s="32"/>
      <c r="AO846" s="57"/>
    </row>
    <row r="847" spans="6:41">
      <c r="F847" s="31"/>
      <c r="N847" s="30"/>
      <c r="U847" s="31"/>
      <c r="AC847" s="31"/>
      <c r="AN847" s="32"/>
      <c r="AO847" s="57"/>
    </row>
    <row r="848" spans="6:41">
      <c r="F848" s="31"/>
      <c r="N848" s="30"/>
      <c r="U848" s="31"/>
      <c r="AC848" s="31"/>
      <c r="AN848" s="32"/>
      <c r="AO848" s="57"/>
    </row>
    <row r="849" spans="6:41">
      <c r="F849" s="31"/>
      <c r="N849" s="30"/>
      <c r="U849" s="31"/>
      <c r="AC849" s="31"/>
      <c r="AN849" s="32"/>
      <c r="AO849" s="57"/>
    </row>
    <row r="850" spans="6:41">
      <c r="F850" s="31"/>
      <c r="N850" s="30"/>
      <c r="U850" s="31"/>
      <c r="AC850" s="31"/>
      <c r="AN850" s="32"/>
      <c r="AO850" s="57"/>
    </row>
    <row r="851" spans="6:41">
      <c r="F851" s="31"/>
      <c r="N851" s="30"/>
      <c r="U851" s="31"/>
      <c r="AC851" s="31"/>
      <c r="AN851" s="32"/>
      <c r="AO851" s="57"/>
    </row>
    <row r="852" spans="6:41">
      <c r="F852" s="31"/>
      <c r="N852" s="30"/>
      <c r="U852" s="31"/>
      <c r="AC852" s="31"/>
      <c r="AN852" s="32"/>
      <c r="AO852" s="57"/>
    </row>
    <row r="853" spans="6:41">
      <c r="F853" s="31"/>
      <c r="N853" s="30"/>
      <c r="U853" s="31"/>
      <c r="AC853" s="31"/>
      <c r="AN853" s="32"/>
      <c r="AO853" s="57"/>
    </row>
    <row r="854" spans="6:41">
      <c r="F854" s="31"/>
      <c r="N854" s="30"/>
      <c r="U854" s="31"/>
      <c r="AC854" s="31"/>
      <c r="AN854" s="32"/>
      <c r="AO854" s="57"/>
    </row>
    <row r="855" spans="6:41">
      <c r="F855" s="31"/>
      <c r="N855" s="30"/>
      <c r="U855" s="31"/>
      <c r="AC855" s="31"/>
      <c r="AN855" s="32"/>
      <c r="AO855" s="57"/>
    </row>
    <row r="856" spans="6:41">
      <c r="F856" s="31"/>
      <c r="N856" s="30"/>
      <c r="U856" s="31"/>
      <c r="AC856" s="31"/>
      <c r="AN856" s="32"/>
      <c r="AO856" s="57"/>
    </row>
    <row r="857" spans="6:41">
      <c r="F857" s="31"/>
      <c r="N857" s="30"/>
      <c r="U857" s="31"/>
      <c r="AC857" s="31"/>
      <c r="AN857" s="32"/>
      <c r="AO857" s="57"/>
    </row>
    <row r="858" spans="6:41">
      <c r="F858" s="31"/>
      <c r="N858" s="30"/>
      <c r="U858" s="31"/>
      <c r="AC858" s="31"/>
      <c r="AN858" s="32"/>
      <c r="AO858" s="57"/>
    </row>
    <row r="859" spans="6:41">
      <c r="F859" s="31"/>
      <c r="N859" s="30"/>
      <c r="U859" s="31"/>
      <c r="AC859" s="31"/>
      <c r="AN859" s="32"/>
      <c r="AO859" s="57"/>
    </row>
    <row r="860" spans="6:41">
      <c r="F860" s="31"/>
      <c r="N860" s="30"/>
      <c r="U860" s="31"/>
      <c r="AC860" s="31"/>
      <c r="AN860" s="32"/>
      <c r="AO860" s="57"/>
    </row>
    <row r="861" spans="6:41">
      <c r="F861" s="31"/>
      <c r="N861" s="30"/>
      <c r="U861" s="31"/>
      <c r="AC861" s="31"/>
      <c r="AN861" s="32"/>
      <c r="AO861" s="57"/>
    </row>
    <row r="862" spans="6:41">
      <c r="F862" s="31"/>
      <c r="N862" s="30"/>
      <c r="U862" s="31"/>
      <c r="AC862" s="31"/>
      <c r="AN862" s="32"/>
      <c r="AO862" s="57"/>
    </row>
    <row r="863" spans="6:41">
      <c r="F863" s="31"/>
      <c r="N863" s="30"/>
      <c r="U863" s="31"/>
      <c r="AC863" s="31"/>
      <c r="AN863" s="32"/>
      <c r="AO863" s="57"/>
    </row>
    <row r="864" spans="6:41">
      <c r="F864" s="31"/>
      <c r="N864" s="30"/>
      <c r="U864" s="31"/>
      <c r="AC864" s="31"/>
      <c r="AN864" s="32"/>
      <c r="AO864" s="57"/>
    </row>
    <row r="865" spans="6:41">
      <c r="F865" s="31"/>
      <c r="N865" s="30"/>
      <c r="U865" s="31"/>
      <c r="AC865" s="31"/>
      <c r="AN865" s="32"/>
      <c r="AO865" s="57"/>
    </row>
    <row r="866" spans="6:41">
      <c r="F866" s="31"/>
      <c r="N866" s="30"/>
      <c r="U866" s="31"/>
      <c r="AC866" s="31"/>
      <c r="AN866" s="32"/>
      <c r="AO866" s="57"/>
    </row>
    <row r="867" spans="6:41">
      <c r="F867" s="31"/>
      <c r="N867" s="30"/>
      <c r="U867" s="31"/>
      <c r="AC867" s="31"/>
      <c r="AN867" s="32"/>
      <c r="AO867" s="57"/>
    </row>
    <row r="868" spans="6:41">
      <c r="F868" s="31"/>
      <c r="N868" s="30"/>
      <c r="U868" s="31"/>
      <c r="AC868" s="31"/>
      <c r="AN868" s="32"/>
      <c r="AO868" s="57"/>
    </row>
    <row r="869" spans="6:41">
      <c r="F869" s="31"/>
      <c r="N869" s="30"/>
      <c r="U869" s="31"/>
      <c r="AC869" s="31"/>
      <c r="AN869" s="32"/>
      <c r="AO869" s="57"/>
    </row>
    <row r="870" spans="6:41">
      <c r="F870" s="31"/>
      <c r="N870" s="30"/>
      <c r="U870" s="31"/>
      <c r="AC870" s="31"/>
      <c r="AN870" s="32"/>
      <c r="AO870" s="57"/>
    </row>
    <row r="871" spans="6:41">
      <c r="F871" s="31"/>
      <c r="N871" s="30"/>
      <c r="U871" s="31"/>
      <c r="AC871" s="31"/>
      <c r="AN871" s="32"/>
      <c r="AO871" s="57"/>
    </row>
    <row r="872" spans="6:41">
      <c r="F872" s="31"/>
      <c r="N872" s="30"/>
      <c r="U872" s="31"/>
      <c r="AC872" s="31"/>
      <c r="AN872" s="32"/>
      <c r="AO872" s="57"/>
    </row>
    <row r="873" spans="6:41">
      <c r="F873" s="31"/>
      <c r="N873" s="30"/>
      <c r="U873" s="31"/>
      <c r="AC873" s="31"/>
      <c r="AN873" s="32"/>
      <c r="AO873" s="57"/>
    </row>
    <row r="874" spans="6:41">
      <c r="F874" s="31"/>
      <c r="N874" s="30"/>
      <c r="U874" s="31"/>
      <c r="AC874" s="31"/>
      <c r="AN874" s="32"/>
      <c r="AO874" s="57"/>
    </row>
    <row r="875" spans="6:41">
      <c r="F875" s="31"/>
      <c r="N875" s="30"/>
      <c r="U875" s="31"/>
      <c r="AC875" s="31"/>
      <c r="AN875" s="32"/>
      <c r="AO875" s="57"/>
    </row>
    <row r="876" spans="6:41">
      <c r="F876" s="31"/>
      <c r="N876" s="30"/>
      <c r="U876" s="31"/>
      <c r="AC876" s="31"/>
      <c r="AN876" s="32"/>
      <c r="AO876" s="57"/>
    </row>
    <row r="877" spans="6:41">
      <c r="F877" s="31"/>
      <c r="N877" s="30"/>
      <c r="U877" s="31"/>
      <c r="AC877" s="31"/>
      <c r="AN877" s="32"/>
      <c r="AO877" s="57"/>
    </row>
    <row r="878" spans="6:41">
      <c r="F878" s="31"/>
      <c r="N878" s="30"/>
      <c r="U878" s="31"/>
      <c r="AC878" s="31"/>
      <c r="AN878" s="32"/>
      <c r="AO878" s="57"/>
    </row>
    <row r="879" spans="6:41">
      <c r="F879" s="31"/>
      <c r="N879" s="30"/>
      <c r="U879" s="31"/>
      <c r="AC879" s="31"/>
      <c r="AN879" s="32"/>
      <c r="AO879" s="57"/>
    </row>
    <row r="880" spans="6:41">
      <c r="F880" s="31"/>
      <c r="N880" s="30"/>
      <c r="U880" s="31"/>
      <c r="AC880" s="31"/>
      <c r="AN880" s="32"/>
      <c r="AO880" s="57"/>
    </row>
    <row r="881" spans="6:41">
      <c r="F881" s="31"/>
      <c r="N881" s="30"/>
      <c r="U881" s="31"/>
      <c r="AC881" s="31"/>
      <c r="AN881" s="32"/>
      <c r="AO881" s="57"/>
    </row>
    <row r="882" spans="6:41">
      <c r="F882" s="31"/>
      <c r="N882" s="30"/>
      <c r="U882" s="31"/>
      <c r="AC882" s="31"/>
      <c r="AN882" s="32"/>
      <c r="AO882" s="57"/>
    </row>
    <row r="883" spans="6:41">
      <c r="F883" s="31"/>
      <c r="N883" s="30"/>
      <c r="U883" s="31"/>
      <c r="AC883" s="31"/>
      <c r="AN883" s="32"/>
      <c r="AO883" s="57"/>
    </row>
    <row r="884" spans="6:41">
      <c r="F884" s="31"/>
      <c r="N884" s="30"/>
      <c r="U884" s="31"/>
      <c r="AC884" s="31"/>
      <c r="AN884" s="32"/>
      <c r="AO884" s="57"/>
    </row>
    <row r="885" spans="6:41">
      <c r="F885" s="31"/>
      <c r="N885" s="30"/>
      <c r="U885" s="31"/>
      <c r="AC885" s="31"/>
      <c r="AN885" s="32"/>
      <c r="AO885" s="57"/>
    </row>
    <row r="886" spans="6:41">
      <c r="F886" s="31"/>
      <c r="N886" s="30"/>
      <c r="U886" s="31"/>
      <c r="AC886" s="31"/>
      <c r="AN886" s="32"/>
      <c r="AO886" s="57"/>
    </row>
    <row r="887" spans="6:41">
      <c r="F887" s="31"/>
      <c r="N887" s="30"/>
      <c r="U887" s="31"/>
      <c r="AC887" s="31"/>
      <c r="AN887" s="32"/>
      <c r="AO887" s="57"/>
    </row>
    <row r="888" spans="6:41">
      <c r="F888" s="31"/>
      <c r="N888" s="30"/>
      <c r="U888" s="31"/>
      <c r="AC888" s="31"/>
      <c r="AN888" s="32"/>
      <c r="AO888" s="57"/>
    </row>
    <row r="889" spans="6:41">
      <c r="F889" s="31"/>
      <c r="N889" s="30"/>
      <c r="U889" s="31"/>
      <c r="AC889" s="31"/>
      <c r="AN889" s="32"/>
      <c r="AO889" s="57"/>
    </row>
    <row r="890" spans="6:41">
      <c r="F890" s="31"/>
      <c r="N890" s="30"/>
      <c r="U890" s="31"/>
      <c r="AC890" s="31"/>
      <c r="AN890" s="32"/>
      <c r="AO890" s="57"/>
    </row>
    <row r="891" spans="6:41">
      <c r="F891" s="31"/>
      <c r="N891" s="30"/>
      <c r="U891" s="31"/>
      <c r="AC891" s="31"/>
      <c r="AN891" s="32"/>
      <c r="AO891" s="57"/>
    </row>
    <row r="892" spans="6:41">
      <c r="F892" s="31"/>
      <c r="N892" s="30"/>
      <c r="U892" s="31"/>
      <c r="AC892" s="31"/>
      <c r="AN892" s="32"/>
      <c r="AO892" s="57"/>
    </row>
    <row r="893" spans="6:41">
      <c r="F893" s="31"/>
      <c r="N893" s="30"/>
      <c r="U893" s="31"/>
      <c r="AC893" s="31"/>
      <c r="AN893" s="32"/>
      <c r="AO893" s="57"/>
    </row>
    <row r="894" spans="6:41">
      <c r="F894" s="31"/>
      <c r="N894" s="30"/>
      <c r="U894" s="31"/>
      <c r="AC894" s="31"/>
      <c r="AN894" s="32"/>
      <c r="AO894" s="57"/>
    </row>
    <row r="895" spans="6:41">
      <c r="F895" s="31"/>
      <c r="N895" s="30"/>
      <c r="U895" s="31"/>
      <c r="AC895" s="31"/>
      <c r="AN895" s="32"/>
      <c r="AO895" s="57"/>
    </row>
    <row r="896" spans="6:41">
      <c r="F896" s="31"/>
      <c r="N896" s="30"/>
      <c r="U896" s="31"/>
      <c r="AC896" s="31"/>
      <c r="AN896" s="32"/>
      <c r="AO896" s="57"/>
    </row>
    <row r="897" spans="6:41">
      <c r="F897" s="31"/>
      <c r="N897" s="30"/>
      <c r="U897" s="31"/>
      <c r="AC897" s="31"/>
      <c r="AN897" s="32"/>
      <c r="AO897" s="57"/>
    </row>
    <row r="898" spans="6:41">
      <c r="F898" s="31"/>
      <c r="N898" s="30"/>
      <c r="U898" s="31"/>
      <c r="AC898" s="31"/>
      <c r="AN898" s="32"/>
      <c r="AO898" s="57"/>
    </row>
    <row r="899" spans="6:41">
      <c r="F899" s="31"/>
      <c r="N899" s="30"/>
      <c r="U899" s="31"/>
      <c r="AC899" s="31"/>
      <c r="AN899" s="32"/>
      <c r="AO899" s="57"/>
    </row>
    <row r="900" spans="6:41">
      <c r="F900" s="31"/>
      <c r="N900" s="30"/>
      <c r="U900" s="31"/>
      <c r="AC900" s="31"/>
      <c r="AN900" s="32"/>
      <c r="AO900" s="57"/>
    </row>
    <row r="901" spans="6:41">
      <c r="F901" s="31"/>
      <c r="N901" s="30"/>
      <c r="U901" s="31"/>
      <c r="AC901" s="31"/>
      <c r="AN901" s="32"/>
      <c r="AO901" s="57"/>
    </row>
    <row r="902" spans="6:41">
      <c r="F902" s="31"/>
      <c r="N902" s="30"/>
      <c r="U902" s="31"/>
      <c r="AC902" s="31"/>
      <c r="AN902" s="32"/>
      <c r="AO902" s="57"/>
    </row>
    <row r="903" spans="6:41">
      <c r="F903" s="31"/>
      <c r="N903" s="30"/>
      <c r="U903" s="31"/>
      <c r="AC903" s="31"/>
      <c r="AN903" s="32"/>
      <c r="AO903" s="57"/>
    </row>
    <row r="904" spans="6:41">
      <c r="F904" s="31"/>
      <c r="N904" s="30"/>
      <c r="U904" s="31"/>
      <c r="AC904" s="31"/>
      <c r="AN904" s="32"/>
      <c r="AO904" s="57"/>
    </row>
    <row r="905" spans="6:41">
      <c r="F905" s="31"/>
      <c r="N905" s="30"/>
      <c r="U905" s="31"/>
      <c r="AC905" s="31"/>
      <c r="AN905" s="32"/>
      <c r="AO905" s="57"/>
    </row>
    <row r="906" spans="6:41">
      <c r="F906" s="31"/>
      <c r="N906" s="30"/>
      <c r="U906" s="31"/>
      <c r="AC906" s="31"/>
      <c r="AN906" s="32"/>
      <c r="AO906" s="57"/>
    </row>
    <row r="907" spans="6:41">
      <c r="F907" s="31"/>
      <c r="N907" s="30"/>
      <c r="U907" s="31"/>
      <c r="AC907" s="31"/>
      <c r="AN907" s="32"/>
      <c r="AO907" s="57"/>
    </row>
    <row r="908" spans="6:41">
      <c r="F908" s="31"/>
      <c r="N908" s="30"/>
      <c r="U908" s="31"/>
      <c r="AC908" s="31"/>
      <c r="AN908" s="32"/>
      <c r="AO908" s="57"/>
    </row>
    <row r="909" spans="6:41">
      <c r="F909" s="31"/>
      <c r="N909" s="30"/>
      <c r="U909" s="31"/>
      <c r="AC909" s="31"/>
      <c r="AN909" s="32"/>
      <c r="AO909" s="57"/>
    </row>
    <row r="910" spans="6:41">
      <c r="F910" s="31"/>
      <c r="N910" s="30"/>
      <c r="U910" s="31"/>
      <c r="AC910" s="31"/>
      <c r="AN910" s="32"/>
      <c r="AO910" s="57"/>
    </row>
    <row r="911" spans="6:41">
      <c r="F911" s="31"/>
      <c r="N911" s="30"/>
      <c r="U911" s="31"/>
      <c r="AC911" s="31"/>
      <c r="AN911" s="32"/>
      <c r="AO911" s="57"/>
    </row>
    <row r="912" spans="6:41">
      <c r="F912" s="31"/>
      <c r="N912" s="30"/>
      <c r="U912" s="31"/>
      <c r="AC912" s="31"/>
      <c r="AN912" s="32"/>
      <c r="AO912" s="57"/>
    </row>
    <row r="913" spans="6:41">
      <c r="F913" s="31"/>
      <c r="N913" s="30"/>
      <c r="U913" s="31"/>
      <c r="AC913" s="31"/>
      <c r="AN913" s="32"/>
      <c r="AO913" s="57"/>
    </row>
    <row r="914" spans="6:41">
      <c r="F914" s="31"/>
      <c r="N914" s="30"/>
      <c r="U914" s="31"/>
      <c r="AC914" s="31"/>
      <c r="AN914" s="32"/>
      <c r="AO914" s="57"/>
    </row>
    <row r="915" spans="6:41">
      <c r="F915" s="31"/>
      <c r="N915" s="30"/>
      <c r="U915" s="31"/>
      <c r="AC915" s="31"/>
      <c r="AN915" s="32"/>
      <c r="AO915" s="57"/>
    </row>
    <row r="916" spans="6:41">
      <c r="F916" s="31"/>
      <c r="N916" s="30"/>
      <c r="U916" s="31"/>
      <c r="AC916" s="31"/>
      <c r="AN916" s="32"/>
      <c r="AO916" s="57"/>
    </row>
    <row r="917" spans="6:41">
      <c r="F917" s="31"/>
      <c r="N917" s="30"/>
      <c r="U917" s="31"/>
      <c r="AC917" s="31"/>
      <c r="AN917" s="32"/>
      <c r="AO917" s="57"/>
    </row>
    <row r="918" spans="6:41">
      <c r="F918" s="31"/>
      <c r="N918" s="30"/>
      <c r="U918" s="31"/>
      <c r="AC918" s="31"/>
      <c r="AN918" s="32"/>
      <c r="AO918" s="57"/>
    </row>
    <row r="919" spans="6:41">
      <c r="F919" s="31"/>
      <c r="N919" s="30"/>
      <c r="U919" s="31"/>
      <c r="AC919" s="31"/>
      <c r="AN919" s="32"/>
      <c r="AO919" s="57"/>
    </row>
    <row r="920" spans="6:41">
      <c r="F920" s="31"/>
      <c r="N920" s="30"/>
      <c r="U920" s="31"/>
      <c r="AC920" s="31"/>
      <c r="AN920" s="32"/>
      <c r="AO920" s="57"/>
    </row>
    <row r="921" spans="6:41">
      <c r="F921" s="31"/>
      <c r="N921" s="30"/>
      <c r="U921" s="31"/>
      <c r="AC921" s="31"/>
      <c r="AN921" s="32"/>
      <c r="AO921" s="57"/>
    </row>
    <row r="922" spans="6:41">
      <c r="F922" s="31"/>
      <c r="N922" s="30"/>
      <c r="U922" s="31"/>
      <c r="AC922" s="31"/>
      <c r="AN922" s="32"/>
      <c r="AO922" s="57"/>
    </row>
    <row r="923" spans="6:41">
      <c r="F923" s="31"/>
      <c r="N923" s="30"/>
      <c r="U923" s="31"/>
      <c r="AC923" s="31"/>
      <c r="AN923" s="32"/>
      <c r="AO923" s="57"/>
    </row>
    <row r="924" spans="6:41">
      <c r="F924" s="31"/>
      <c r="N924" s="30"/>
      <c r="U924" s="31"/>
      <c r="AC924" s="31"/>
      <c r="AN924" s="32"/>
      <c r="AO924" s="57"/>
    </row>
    <row r="925" spans="6:41">
      <c r="F925" s="31"/>
      <c r="N925" s="30"/>
      <c r="U925" s="31"/>
      <c r="AC925" s="31"/>
      <c r="AN925" s="32"/>
      <c r="AO925" s="57"/>
    </row>
    <row r="926" spans="6:41">
      <c r="F926" s="31"/>
      <c r="N926" s="30"/>
      <c r="U926" s="31"/>
      <c r="AC926" s="31"/>
      <c r="AN926" s="32"/>
      <c r="AO926" s="57"/>
    </row>
    <row r="927" spans="6:41">
      <c r="F927" s="31"/>
      <c r="N927" s="30"/>
      <c r="U927" s="31"/>
      <c r="AC927" s="31"/>
      <c r="AN927" s="32"/>
      <c r="AO927" s="57"/>
    </row>
    <row r="928" spans="6:41">
      <c r="F928" s="31"/>
      <c r="N928" s="30"/>
      <c r="U928" s="31"/>
      <c r="AC928" s="31"/>
      <c r="AN928" s="32"/>
      <c r="AO928" s="57"/>
    </row>
    <row r="929" spans="6:41">
      <c r="F929" s="31"/>
      <c r="N929" s="30"/>
      <c r="U929" s="31"/>
      <c r="AC929" s="31"/>
      <c r="AN929" s="32"/>
      <c r="AO929" s="57"/>
    </row>
    <row r="930" spans="6:41">
      <c r="F930" s="31"/>
      <c r="N930" s="30"/>
      <c r="U930" s="31"/>
      <c r="AC930" s="31"/>
      <c r="AN930" s="32"/>
      <c r="AO930" s="57"/>
    </row>
    <row r="931" spans="6:41">
      <c r="F931" s="31"/>
      <c r="N931" s="30"/>
      <c r="U931" s="31"/>
      <c r="AC931" s="31"/>
      <c r="AN931" s="32"/>
      <c r="AO931" s="57"/>
    </row>
    <row r="932" spans="6:41">
      <c r="F932" s="31"/>
      <c r="N932" s="30"/>
      <c r="U932" s="31"/>
      <c r="AC932" s="31"/>
      <c r="AN932" s="32"/>
      <c r="AO932" s="57"/>
    </row>
    <row r="933" spans="6:41">
      <c r="F933" s="31"/>
      <c r="N933" s="30"/>
      <c r="U933" s="31"/>
      <c r="AC933" s="31"/>
      <c r="AN933" s="32"/>
      <c r="AO933" s="57"/>
    </row>
    <row r="934" spans="6:41">
      <c r="F934" s="31"/>
      <c r="N934" s="30"/>
      <c r="U934" s="31"/>
      <c r="AC934" s="31"/>
      <c r="AN934" s="32"/>
      <c r="AO934" s="57"/>
    </row>
    <row r="935" spans="6:41">
      <c r="F935" s="31"/>
      <c r="N935" s="30"/>
      <c r="U935" s="31"/>
      <c r="AC935" s="31"/>
      <c r="AN935" s="32"/>
      <c r="AO935" s="57"/>
    </row>
    <row r="936" spans="6:41">
      <c r="F936" s="31"/>
      <c r="N936" s="30"/>
      <c r="U936" s="31"/>
      <c r="AC936" s="31"/>
      <c r="AN936" s="32"/>
      <c r="AO936" s="57"/>
    </row>
    <row r="937" spans="6:41">
      <c r="F937" s="31"/>
      <c r="N937" s="30"/>
      <c r="U937" s="31"/>
      <c r="AC937" s="31"/>
      <c r="AN937" s="32"/>
      <c r="AO937" s="57"/>
    </row>
    <row r="938" spans="6:41">
      <c r="F938" s="31"/>
      <c r="N938" s="30"/>
      <c r="U938" s="31"/>
      <c r="AC938" s="31"/>
      <c r="AN938" s="32"/>
      <c r="AO938" s="57"/>
    </row>
    <row r="939" spans="6:41">
      <c r="F939" s="31"/>
      <c r="N939" s="30"/>
      <c r="U939" s="31"/>
      <c r="AC939" s="31"/>
      <c r="AN939" s="32"/>
      <c r="AO939" s="57"/>
    </row>
    <row r="940" spans="6:41">
      <c r="F940" s="31"/>
      <c r="N940" s="30"/>
      <c r="U940" s="31"/>
      <c r="AC940" s="31"/>
      <c r="AN940" s="32"/>
      <c r="AO940" s="57"/>
    </row>
    <row r="941" spans="6:41">
      <c r="F941" s="31"/>
      <c r="N941" s="30"/>
      <c r="U941" s="31"/>
      <c r="AC941" s="31"/>
      <c r="AN941" s="32"/>
      <c r="AO941" s="57"/>
    </row>
    <row r="942" spans="6:41">
      <c r="F942" s="31"/>
      <c r="N942" s="30"/>
      <c r="U942" s="31"/>
      <c r="AC942" s="31"/>
      <c r="AN942" s="32"/>
      <c r="AO942" s="57"/>
    </row>
    <row r="943" spans="6:41">
      <c r="F943" s="31"/>
      <c r="N943" s="30"/>
      <c r="U943" s="31"/>
      <c r="AC943" s="31"/>
      <c r="AN943" s="32"/>
      <c r="AO943" s="57"/>
    </row>
    <row r="944" spans="6:41">
      <c r="F944" s="31"/>
      <c r="N944" s="30"/>
      <c r="U944" s="31"/>
      <c r="AC944" s="31"/>
      <c r="AN944" s="32"/>
      <c r="AO944" s="57"/>
    </row>
    <row r="945" spans="6:41">
      <c r="F945" s="31"/>
      <c r="N945" s="30"/>
      <c r="U945" s="31"/>
      <c r="AC945" s="31"/>
      <c r="AN945" s="32"/>
      <c r="AO945" s="57"/>
    </row>
    <row r="946" spans="6:41">
      <c r="F946" s="31"/>
      <c r="N946" s="30"/>
      <c r="U946" s="31"/>
      <c r="AC946" s="31"/>
      <c r="AN946" s="32"/>
      <c r="AO946" s="57"/>
    </row>
    <row r="947" spans="6:41">
      <c r="F947" s="31"/>
      <c r="N947" s="30"/>
      <c r="U947" s="31"/>
      <c r="AC947" s="31"/>
      <c r="AN947" s="32"/>
      <c r="AO947" s="57"/>
    </row>
    <row r="948" spans="6:41">
      <c r="F948" s="31"/>
      <c r="N948" s="30"/>
      <c r="U948" s="31"/>
      <c r="AC948" s="31"/>
      <c r="AN948" s="32"/>
      <c r="AO948" s="57"/>
    </row>
    <row r="949" spans="6:41">
      <c r="F949" s="31"/>
      <c r="N949" s="30"/>
      <c r="U949" s="31"/>
      <c r="AC949" s="31"/>
      <c r="AN949" s="32"/>
      <c r="AO949" s="57"/>
    </row>
    <row r="950" spans="6:41">
      <c r="F950" s="31"/>
      <c r="N950" s="30"/>
      <c r="U950" s="31"/>
      <c r="AC950" s="31"/>
      <c r="AN950" s="32"/>
      <c r="AO950" s="57"/>
    </row>
    <row r="951" spans="6:41">
      <c r="F951" s="31"/>
      <c r="N951" s="30"/>
      <c r="U951" s="31"/>
      <c r="AC951" s="31"/>
      <c r="AN951" s="32"/>
      <c r="AO951" s="57"/>
    </row>
    <row r="952" spans="6:41">
      <c r="F952" s="31"/>
      <c r="N952" s="30"/>
      <c r="U952" s="31"/>
      <c r="AC952" s="31"/>
      <c r="AN952" s="32"/>
      <c r="AO952" s="57"/>
    </row>
    <row r="953" spans="6:41">
      <c r="F953" s="31"/>
      <c r="N953" s="30"/>
      <c r="U953" s="31"/>
      <c r="AC953" s="31"/>
      <c r="AN953" s="32"/>
      <c r="AO953" s="57"/>
    </row>
    <row r="954" spans="6:41">
      <c r="F954" s="31"/>
      <c r="N954" s="30"/>
      <c r="U954" s="31"/>
      <c r="AC954" s="31"/>
      <c r="AN954" s="32"/>
      <c r="AO954" s="57"/>
    </row>
    <row r="955" spans="6:41">
      <c r="F955" s="31"/>
      <c r="N955" s="30"/>
      <c r="U955" s="31"/>
      <c r="AC955" s="31"/>
      <c r="AN955" s="32"/>
      <c r="AO955" s="57"/>
    </row>
    <row r="956" spans="6:41">
      <c r="F956" s="31"/>
      <c r="N956" s="30"/>
      <c r="U956" s="31"/>
      <c r="AC956" s="31"/>
      <c r="AN956" s="32"/>
      <c r="AO956" s="57"/>
    </row>
    <row r="957" spans="6:41">
      <c r="F957" s="31"/>
      <c r="N957" s="30"/>
      <c r="U957" s="31"/>
      <c r="AC957" s="31"/>
      <c r="AN957" s="32"/>
      <c r="AO957" s="57"/>
    </row>
    <row r="958" spans="6:41">
      <c r="F958" s="31"/>
      <c r="N958" s="30"/>
      <c r="U958" s="31"/>
      <c r="AC958" s="31"/>
      <c r="AN958" s="32"/>
      <c r="AO958" s="57"/>
    </row>
    <row r="959" spans="6:41">
      <c r="F959" s="31"/>
      <c r="N959" s="30"/>
      <c r="U959" s="31"/>
      <c r="AC959" s="31"/>
      <c r="AN959" s="32"/>
      <c r="AO959" s="57"/>
    </row>
    <row r="960" spans="6:41">
      <c r="F960" s="31"/>
      <c r="N960" s="30"/>
      <c r="U960" s="31"/>
      <c r="AC960" s="31"/>
      <c r="AN960" s="32"/>
      <c r="AO960" s="57"/>
    </row>
    <row r="961" spans="6:41">
      <c r="F961" s="31"/>
      <c r="N961" s="30"/>
      <c r="U961" s="31"/>
      <c r="AC961" s="31"/>
      <c r="AN961" s="32"/>
      <c r="AO961" s="57"/>
    </row>
    <row r="962" spans="6:41">
      <c r="F962" s="31"/>
      <c r="N962" s="30"/>
      <c r="U962" s="31"/>
      <c r="AC962" s="31"/>
      <c r="AN962" s="32"/>
      <c r="AO962" s="57"/>
    </row>
    <row r="963" spans="6:41">
      <c r="F963" s="31"/>
      <c r="N963" s="30"/>
      <c r="U963" s="31"/>
      <c r="AC963" s="31"/>
      <c r="AN963" s="32"/>
      <c r="AO963" s="57"/>
    </row>
    <row r="964" spans="6:41">
      <c r="F964" s="31"/>
      <c r="N964" s="30"/>
      <c r="U964" s="31"/>
      <c r="AC964" s="31"/>
      <c r="AN964" s="32"/>
      <c r="AO964" s="57"/>
    </row>
    <row r="965" spans="6:41">
      <c r="F965" s="31"/>
      <c r="N965" s="30"/>
      <c r="U965" s="31"/>
      <c r="AC965" s="31"/>
      <c r="AN965" s="32"/>
      <c r="AO965" s="57"/>
    </row>
    <row r="966" spans="6:41">
      <c r="F966" s="31"/>
      <c r="N966" s="30"/>
      <c r="U966" s="31"/>
      <c r="AC966" s="31"/>
      <c r="AN966" s="32"/>
      <c r="AO966" s="57"/>
    </row>
    <row r="967" spans="6:41">
      <c r="F967" s="31"/>
      <c r="N967" s="30"/>
      <c r="U967" s="31"/>
      <c r="AC967" s="31"/>
      <c r="AN967" s="32"/>
      <c r="AO967" s="57"/>
    </row>
    <row r="968" spans="6:41">
      <c r="F968" s="31"/>
      <c r="N968" s="30"/>
      <c r="U968" s="31"/>
      <c r="AC968" s="31"/>
      <c r="AN968" s="32"/>
      <c r="AO968" s="57"/>
    </row>
    <row r="969" spans="6:41">
      <c r="F969" s="31"/>
      <c r="N969" s="30"/>
      <c r="U969" s="31"/>
      <c r="AC969" s="31"/>
      <c r="AN969" s="32"/>
      <c r="AO969" s="57"/>
    </row>
    <row r="970" spans="6:41">
      <c r="F970" s="31"/>
      <c r="N970" s="30"/>
      <c r="U970" s="31"/>
      <c r="AC970" s="31"/>
      <c r="AN970" s="32"/>
      <c r="AO970" s="57"/>
    </row>
    <row r="971" spans="6:41">
      <c r="F971" s="31"/>
      <c r="N971" s="30"/>
      <c r="U971" s="31"/>
      <c r="AC971" s="31"/>
      <c r="AN971" s="32"/>
      <c r="AO971" s="57"/>
    </row>
    <row r="972" spans="6:41">
      <c r="F972" s="31"/>
      <c r="N972" s="30"/>
      <c r="U972" s="31"/>
      <c r="AC972" s="31"/>
      <c r="AN972" s="32"/>
      <c r="AO972" s="57"/>
    </row>
    <row r="973" spans="6:41">
      <c r="F973" s="31"/>
      <c r="N973" s="30"/>
      <c r="U973" s="31"/>
      <c r="AC973" s="31"/>
      <c r="AN973" s="32"/>
      <c r="AO973" s="57"/>
    </row>
    <row r="974" spans="6:41">
      <c r="F974" s="31"/>
      <c r="N974" s="30"/>
      <c r="U974" s="31"/>
      <c r="AC974" s="31"/>
      <c r="AN974" s="32"/>
      <c r="AO974" s="57"/>
    </row>
    <row r="975" spans="6:41">
      <c r="F975" s="31"/>
      <c r="N975" s="30"/>
      <c r="U975" s="31"/>
      <c r="AC975" s="31"/>
      <c r="AN975" s="32"/>
      <c r="AO975" s="57"/>
    </row>
    <row r="976" spans="6:41">
      <c r="F976" s="31"/>
      <c r="N976" s="30"/>
      <c r="U976" s="31"/>
      <c r="AC976" s="31"/>
      <c r="AN976" s="32"/>
      <c r="AO976" s="57"/>
    </row>
    <row r="977" spans="6:41">
      <c r="F977" s="31"/>
      <c r="N977" s="30"/>
      <c r="U977" s="31"/>
      <c r="AC977" s="31"/>
      <c r="AN977" s="32"/>
      <c r="AO977" s="57"/>
    </row>
    <row r="978" spans="6:41">
      <c r="F978" s="31"/>
      <c r="N978" s="30"/>
      <c r="U978" s="31"/>
      <c r="AC978" s="31"/>
      <c r="AN978" s="32"/>
      <c r="AO978" s="57"/>
    </row>
    <row r="979" spans="6:41">
      <c r="F979" s="31"/>
      <c r="N979" s="30"/>
      <c r="U979" s="31"/>
      <c r="AC979" s="31"/>
      <c r="AN979" s="32"/>
      <c r="AO979" s="57"/>
    </row>
    <row r="980" spans="6:41">
      <c r="F980" s="31"/>
      <c r="N980" s="30"/>
      <c r="U980" s="31"/>
      <c r="AC980" s="31"/>
      <c r="AN980" s="32"/>
      <c r="AO980" s="57"/>
    </row>
    <row r="981" spans="6:41">
      <c r="F981" s="31"/>
      <c r="N981" s="30"/>
      <c r="U981" s="31"/>
      <c r="AC981" s="31"/>
      <c r="AN981" s="32"/>
      <c r="AO981" s="57"/>
    </row>
    <row r="982" spans="6:41">
      <c r="F982" s="31"/>
      <c r="N982" s="30"/>
      <c r="U982" s="31"/>
      <c r="AC982" s="31"/>
      <c r="AN982" s="32"/>
      <c r="AO982" s="57"/>
    </row>
    <row r="983" spans="6:41">
      <c r="F983" s="31"/>
      <c r="N983" s="30"/>
      <c r="U983" s="31"/>
      <c r="AC983" s="31"/>
      <c r="AN983" s="32"/>
      <c r="AO983" s="57"/>
    </row>
    <row r="984" spans="6:41">
      <c r="F984" s="31"/>
      <c r="N984" s="30"/>
      <c r="U984" s="31"/>
      <c r="AC984" s="31"/>
      <c r="AN984" s="32"/>
      <c r="AO984" s="57"/>
    </row>
    <row r="985" spans="6:41">
      <c r="F985" s="31"/>
      <c r="N985" s="30"/>
      <c r="U985" s="31"/>
      <c r="AC985" s="31"/>
      <c r="AN985" s="32"/>
      <c r="AO985" s="57"/>
    </row>
    <row r="986" spans="6:41">
      <c r="F986" s="31"/>
      <c r="N986" s="30"/>
      <c r="U986" s="31"/>
      <c r="AC986" s="31"/>
      <c r="AN986" s="32"/>
      <c r="AO986" s="57"/>
    </row>
    <row r="987" spans="6:41">
      <c r="F987" s="31"/>
      <c r="N987" s="30"/>
      <c r="U987" s="31"/>
      <c r="AC987" s="31"/>
      <c r="AN987" s="32"/>
      <c r="AO987" s="57"/>
    </row>
    <row r="988" spans="6:41">
      <c r="F988" s="31"/>
      <c r="N988" s="30"/>
      <c r="U988" s="31"/>
      <c r="AC988" s="31"/>
      <c r="AN988" s="32"/>
      <c r="AO988" s="57"/>
    </row>
    <row r="989" spans="6:41">
      <c r="F989" s="31"/>
      <c r="N989" s="30"/>
      <c r="U989" s="31"/>
      <c r="AC989" s="31"/>
      <c r="AN989" s="32"/>
      <c r="AO989" s="57"/>
    </row>
    <row r="990" spans="6:41">
      <c r="F990" s="31"/>
      <c r="N990" s="30"/>
      <c r="U990" s="31"/>
      <c r="AC990" s="31"/>
      <c r="AN990" s="32"/>
      <c r="AO990" s="57"/>
    </row>
    <row r="991" spans="6:41">
      <c r="F991" s="31"/>
      <c r="N991" s="30"/>
      <c r="U991" s="31"/>
      <c r="AC991" s="31"/>
      <c r="AN991" s="32"/>
      <c r="AO991" s="57"/>
    </row>
    <row r="992" spans="6:41">
      <c r="F992" s="31"/>
      <c r="N992" s="30"/>
      <c r="U992" s="31"/>
      <c r="AC992" s="31"/>
      <c r="AN992" s="32"/>
      <c r="AO992" s="57"/>
    </row>
    <row r="993" spans="6:41">
      <c r="F993" s="31"/>
      <c r="N993" s="30"/>
      <c r="U993" s="31"/>
      <c r="AC993" s="31"/>
      <c r="AN993" s="32"/>
      <c r="AO993" s="57"/>
    </row>
    <row r="994" spans="6:41">
      <c r="F994" s="31"/>
      <c r="N994" s="30"/>
      <c r="U994" s="31"/>
      <c r="AC994" s="31"/>
      <c r="AN994" s="32"/>
      <c r="AO994" s="57"/>
    </row>
    <row r="995" spans="6:41">
      <c r="F995" s="31"/>
      <c r="N995" s="30"/>
      <c r="U995" s="31"/>
      <c r="AC995" s="31"/>
      <c r="AN995" s="32"/>
      <c r="AO995" s="57"/>
    </row>
    <row r="996" spans="6:41">
      <c r="F996" s="31"/>
      <c r="N996" s="30"/>
      <c r="U996" s="31"/>
      <c r="AC996" s="31"/>
      <c r="AN996" s="32"/>
      <c r="AO996" s="57"/>
    </row>
    <row r="997" spans="6:41">
      <c r="F997" s="31"/>
      <c r="N997" s="30"/>
      <c r="U997" s="31"/>
      <c r="AC997" s="31"/>
      <c r="AN997" s="32"/>
      <c r="AO997" s="57"/>
    </row>
    <row r="998" spans="6:41">
      <c r="F998" s="31"/>
      <c r="N998" s="30"/>
      <c r="U998" s="31"/>
      <c r="AC998" s="31"/>
      <c r="AN998" s="32"/>
      <c r="AO998" s="57"/>
    </row>
    <row r="999" spans="6:41">
      <c r="F999" s="31"/>
      <c r="N999" s="30"/>
      <c r="U999" s="31"/>
      <c r="AC999" s="31"/>
      <c r="AN999" s="32"/>
      <c r="AO999" s="57"/>
    </row>
    <row r="1000" spans="6:41">
      <c r="F1000" s="31"/>
      <c r="N1000" s="30"/>
      <c r="U1000" s="31"/>
      <c r="AC1000" s="31"/>
      <c r="AN1000" s="32"/>
      <c r="AO1000" s="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T1000"/>
  <sheetViews>
    <sheetView workbookViewId="0">
      <pane xSplit="6" ySplit="1" topLeftCell="T2" activePane="bottomRight" state="frozen"/>
      <selection pane="topRight" activeCell="G1" sqref="G1"/>
      <selection pane="bottomLeft" activeCell="A2" sqref="A2"/>
      <selection pane="bottomRight" activeCell="AI39" sqref="AI39"/>
    </sheetView>
    <sheetView workbookViewId="1"/>
  </sheetViews>
  <sheetFormatPr defaultColWidth="14.42578125" defaultRowHeight="15.75" customHeight="1"/>
  <cols>
    <col min="1" max="1" width="5.140625" customWidth="1"/>
    <col min="2" max="2" width="9.85546875" customWidth="1"/>
    <col min="3" max="3" width="6.5703125" customWidth="1"/>
    <col min="5" max="5" width="29.42578125" customWidth="1"/>
    <col min="6" max="6" width="8.42578125" customWidth="1"/>
    <col min="7" max="7" width="4.85546875" customWidth="1"/>
    <col min="8" max="13" width="6.5703125" customWidth="1"/>
    <col min="14" max="21" width="5.5703125" customWidth="1"/>
    <col min="22" max="27" width="5.85546875" customWidth="1"/>
    <col min="28" max="29" width="6.5703125" customWidth="1"/>
    <col min="30" max="36" width="7.85546875" customWidth="1"/>
    <col min="37" max="37" width="6.5703125" customWidth="1"/>
    <col min="38" max="38" width="7.5703125" customWidth="1"/>
    <col min="39" max="39" width="9" customWidth="1"/>
    <col min="40" max="40" width="31.5703125" customWidth="1"/>
    <col min="41" max="41" width="6.85546875" customWidth="1"/>
    <col min="42" max="42" width="8.71093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172176246</v>
      </c>
      <c r="E2" s="1" t="s">
        <v>194</v>
      </c>
      <c r="F2" s="45" t="s">
        <v>98</v>
      </c>
      <c r="G2" s="1">
        <v>5</v>
      </c>
      <c r="H2" s="1" t="s">
        <v>22</v>
      </c>
      <c r="J2" s="1" t="s">
        <v>182</v>
      </c>
      <c r="K2" s="1" t="s">
        <v>186</v>
      </c>
      <c r="L2" s="1" t="s">
        <v>1</v>
      </c>
      <c r="M2" s="31"/>
      <c r="O2" s="1">
        <v>2</v>
      </c>
      <c r="P2" s="1">
        <v>0</v>
      </c>
      <c r="Q2" s="1">
        <v>1</v>
      </c>
      <c r="R2" s="1">
        <v>0</v>
      </c>
      <c r="S2" s="1" t="s">
        <v>179</v>
      </c>
      <c r="T2" s="1">
        <v>2</v>
      </c>
      <c r="U2" s="31"/>
      <c r="W2" s="1" t="s">
        <v>185</v>
      </c>
      <c r="AA2" s="1" t="s">
        <v>183</v>
      </c>
      <c r="AC2" s="31"/>
      <c r="AD2" s="1">
        <v>95</v>
      </c>
      <c r="AE2" s="1">
        <v>30</v>
      </c>
      <c r="AF2" s="1">
        <v>300</v>
      </c>
      <c r="AG2" s="1">
        <v>7</v>
      </c>
      <c r="AH2" s="1">
        <v>10</v>
      </c>
      <c r="AI2" s="1">
        <v>630</v>
      </c>
      <c r="AJ2" s="1" t="s">
        <v>180</v>
      </c>
      <c r="AK2" s="1">
        <v>2</v>
      </c>
      <c r="AM2" s="1">
        <v>1</v>
      </c>
      <c r="AN2" s="1" t="s">
        <v>304</v>
      </c>
      <c r="AO2" s="33" t="s">
        <v>203</v>
      </c>
      <c r="AP2" s="1">
        <v>1</v>
      </c>
    </row>
    <row r="3" spans="1:72">
      <c r="A3" s="1">
        <v>2</v>
      </c>
      <c r="B3" s="1" t="s">
        <v>305</v>
      </c>
      <c r="C3" s="1" t="s">
        <v>179</v>
      </c>
      <c r="D3" s="1">
        <v>281191242</v>
      </c>
      <c r="E3" s="1" t="s">
        <v>206</v>
      </c>
      <c r="F3" s="45" t="s">
        <v>105</v>
      </c>
      <c r="G3" s="1">
        <v>2</v>
      </c>
      <c r="H3" s="1" t="s">
        <v>183</v>
      </c>
      <c r="J3" s="1" t="s">
        <v>232</v>
      </c>
      <c r="K3" s="1" t="s">
        <v>189</v>
      </c>
      <c r="M3" s="31"/>
      <c r="O3" s="1">
        <v>0</v>
      </c>
      <c r="P3" s="1">
        <v>0</v>
      </c>
      <c r="Q3" s="1">
        <v>2</v>
      </c>
      <c r="R3" s="1">
        <v>0</v>
      </c>
      <c r="S3" s="1" t="s">
        <v>179</v>
      </c>
      <c r="T3" s="1">
        <v>1</v>
      </c>
      <c r="U3" s="31"/>
      <c r="AC3" s="31"/>
      <c r="AD3" s="1">
        <v>77</v>
      </c>
      <c r="AE3" s="1">
        <v>21.6</v>
      </c>
      <c r="AF3" s="35">
        <v>300</v>
      </c>
      <c r="AG3" s="35">
        <v>7</v>
      </c>
      <c r="AH3" s="35">
        <v>10</v>
      </c>
      <c r="AI3" s="1">
        <v>630</v>
      </c>
      <c r="AJ3" s="35" t="s">
        <v>180</v>
      </c>
      <c r="AK3" s="1">
        <v>15</v>
      </c>
      <c r="AO3" s="60">
        <v>1</v>
      </c>
      <c r="AP3" s="35">
        <v>1</v>
      </c>
    </row>
    <row r="4" spans="1:72">
      <c r="A4" s="36">
        <v>3</v>
      </c>
      <c r="B4" s="36" t="s">
        <v>174</v>
      </c>
      <c r="C4" s="36" t="s">
        <v>157</v>
      </c>
      <c r="D4" s="36">
        <v>283105242</v>
      </c>
      <c r="E4" s="36" t="s">
        <v>194</v>
      </c>
      <c r="F4" s="58" t="s">
        <v>98</v>
      </c>
      <c r="G4" s="36">
        <v>1</v>
      </c>
      <c r="H4" s="36" t="s">
        <v>22</v>
      </c>
      <c r="I4" s="37"/>
      <c r="J4" s="36" t="s">
        <v>176</v>
      </c>
      <c r="K4" s="36" t="s">
        <v>177</v>
      </c>
      <c r="L4" s="36" t="s">
        <v>178</v>
      </c>
      <c r="M4" s="39"/>
      <c r="N4" s="37"/>
      <c r="O4" s="36">
        <v>0</v>
      </c>
      <c r="P4" s="36">
        <v>2</v>
      </c>
      <c r="Q4" s="36">
        <v>1</v>
      </c>
      <c r="R4" s="36">
        <v>0</v>
      </c>
      <c r="S4" s="36" t="s">
        <v>179</v>
      </c>
      <c r="T4" s="36">
        <v>1</v>
      </c>
      <c r="U4" s="39"/>
      <c r="V4" s="36" t="s">
        <v>178</v>
      </c>
      <c r="W4" s="37"/>
      <c r="X4" s="36" t="s">
        <v>189</v>
      </c>
      <c r="Y4" s="37"/>
      <c r="Z4" s="37"/>
      <c r="AA4" s="36" t="s">
        <v>178</v>
      </c>
      <c r="AB4" s="37"/>
      <c r="AC4" s="39"/>
      <c r="AD4" s="36">
        <v>93</v>
      </c>
      <c r="AE4" s="36">
        <v>31.1</v>
      </c>
      <c r="AF4" s="40">
        <v>300</v>
      </c>
      <c r="AG4" s="40">
        <v>7</v>
      </c>
      <c r="AH4" s="40">
        <v>10</v>
      </c>
      <c r="AI4" s="36">
        <v>7</v>
      </c>
      <c r="AJ4" s="40" t="s">
        <v>180</v>
      </c>
      <c r="AK4" s="36">
        <v>6</v>
      </c>
      <c r="AL4" s="37"/>
      <c r="AM4" s="36">
        <v>2</v>
      </c>
      <c r="AN4" s="36" t="s">
        <v>306</v>
      </c>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305</v>
      </c>
      <c r="C5" s="1" t="s">
        <v>157</v>
      </c>
      <c r="D5" s="1">
        <v>172176232</v>
      </c>
      <c r="E5" s="1" t="s">
        <v>175</v>
      </c>
      <c r="F5" s="45" t="s">
        <v>114</v>
      </c>
      <c r="G5" s="1">
        <v>1</v>
      </c>
      <c r="H5" s="1" t="s">
        <v>186</v>
      </c>
      <c r="I5" s="1" t="s">
        <v>22</v>
      </c>
      <c r="J5" s="1" t="s">
        <v>205</v>
      </c>
      <c r="K5" s="1" t="s">
        <v>186</v>
      </c>
      <c r="L5" s="1" t="s">
        <v>1</v>
      </c>
      <c r="M5" s="31"/>
      <c r="O5" s="1">
        <v>2</v>
      </c>
      <c r="P5" s="1">
        <v>0</v>
      </c>
      <c r="Q5" s="1">
        <v>1</v>
      </c>
      <c r="R5" s="1">
        <v>0</v>
      </c>
      <c r="S5" s="1" t="s">
        <v>155</v>
      </c>
      <c r="T5" s="1">
        <v>2</v>
      </c>
      <c r="U5" s="31"/>
      <c r="AC5" s="31"/>
      <c r="AD5" s="1">
        <v>66</v>
      </c>
      <c r="AE5" s="1">
        <v>25.2</v>
      </c>
      <c r="AF5" s="35">
        <v>300</v>
      </c>
      <c r="AG5" s="35">
        <v>7</v>
      </c>
      <c r="AH5" s="35">
        <v>10</v>
      </c>
      <c r="AI5" s="1">
        <v>7</v>
      </c>
      <c r="AJ5" s="35" t="s">
        <v>180</v>
      </c>
      <c r="AK5" s="1">
        <v>21</v>
      </c>
      <c r="AM5" s="1">
        <v>3</v>
      </c>
      <c r="AN5" s="1" t="s">
        <v>307</v>
      </c>
      <c r="AO5" s="60" t="s">
        <v>157</v>
      </c>
      <c r="AP5" s="35">
        <v>1</v>
      </c>
    </row>
    <row r="6" spans="1:72">
      <c r="A6" s="1">
        <v>5</v>
      </c>
      <c r="B6" s="1" t="s">
        <v>174</v>
      </c>
      <c r="C6" s="1" t="s">
        <v>157</v>
      </c>
      <c r="D6" s="1">
        <v>283105241</v>
      </c>
      <c r="E6" s="1" t="s">
        <v>194</v>
      </c>
      <c r="F6" s="45" t="s">
        <v>98</v>
      </c>
      <c r="G6" s="1">
        <v>1</v>
      </c>
      <c r="H6" s="1" t="s">
        <v>1</v>
      </c>
      <c r="I6" s="1" t="s">
        <v>22</v>
      </c>
      <c r="J6" s="1" t="s">
        <v>176</v>
      </c>
      <c r="K6" s="1" t="s">
        <v>186</v>
      </c>
      <c r="L6" s="1" t="s">
        <v>1</v>
      </c>
      <c r="M6" s="31"/>
      <c r="O6" s="1">
        <v>3</v>
      </c>
      <c r="P6" s="1">
        <v>0</v>
      </c>
      <c r="Q6" s="1">
        <v>0</v>
      </c>
      <c r="R6" s="1">
        <v>0</v>
      </c>
      <c r="S6" s="1" t="s">
        <v>179</v>
      </c>
      <c r="T6" s="1">
        <v>2</v>
      </c>
      <c r="U6" s="31"/>
      <c r="AC6" s="31"/>
      <c r="AD6" s="1">
        <v>94</v>
      </c>
      <c r="AE6" s="1">
        <v>29.2</v>
      </c>
      <c r="AF6" s="35">
        <v>300</v>
      </c>
      <c r="AG6" s="35">
        <v>7</v>
      </c>
      <c r="AH6" s="35">
        <v>10</v>
      </c>
      <c r="AI6" s="1">
        <v>740</v>
      </c>
      <c r="AJ6" s="35" t="s">
        <v>180</v>
      </c>
      <c r="AK6" s="1">
        <v>14</v>
      </c>
      <c r="AO6" s="60" t="s">
        <v>157</v>
      </c>
      <c r="AP6" s="35">
        <v>1</v>
      </c>
    </row>
    <row r="7" spans="1:72">
      <c r="A7" s="36">
        <v>6</v>
      </c>
      <c r="B7" s="36" t="s">
        <v>305</v>
      </c>
      <c r="C7" s="36" t="s">
        <v>179</v>
      </c>
      <c r="D7" s="36">
        <v>290077844</v>
      </c>
      <c r="E7" s="36" t="s">
        <v>196</v>
      </c>
      <c r="F7" s="58" t="s">
        <v>89</v>
      </c>
      <c r="G7" s="36">
        <v>2</v>
      </c>
      <c r="H7" s="36" t="s">
        <v>155</v>
      </c>
      <c r="I7" s="37"/>
      <c r="J7" s="36" t="s">
        <v>232</v>
      </c>
      <c r="K7" s="36" t="s">
        <v>177</v>
      </c>
      <c r="L7" s="36" t="s">
        <v>197</v>
      </c>
      <c r="M7" s="39"/>
      <c r="N7" s="37"/>
      <c r="O7" s="36">
        <v>0</v>
      </c>
      <c r="P7" s="37"/>
      <c r="Q7" s="36">
        <v>2</v>
      </c>
      <c r="R7" s="36">
        <v>0</v>
      </c>
      <c r="S7" s="36" t="s">
        <v>179</v>
      </c>
      <c r="T7" s="36">
        <v>2</v>
      </c>
      <c r="U7" s="39"/>
      <c r="V7" s="37"/>
      <c r="W7" s="37"/>
      <c r="X7" s="37"/>
      <c r="Y7" s="37"/>
      <c r="Z7" s="37"/>
      <c r="AA7" s="37"/>
      <c r="AB7" s="37"/>
      <c r="AC7" s="39"/>
      <c r="AD7" s="36">
        <v>45</v>
      </c>
      <c r="AE7" s="36">
        <v>5.2</v>
      </c>
      <c r="AF7" s="40">
        <v>300</v>
      </c>
      <c r="AG7" s="40">
        <v>7</v>
      </c>
      <c r="AH7" s="40">
        <v>10</v>
      </c>
      <c r="AI7" s="36">
        <v>740</v>
      </c>
      <c r="AJ7" s="40" t="s">
        <v>180</v>
      </c>
      <c r="AK7" s="36">
        <v>6</v>
      </c>
      <c r="AL7" s="37"/>
      <c r="AM7" s="37"/>
      <c r="AN7" s="37"/>
      <c r="AO7" s="61" t="s">
        <v>215</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290077845</v>
      </c>
      <c r="E8" s="1" t="s">
        <v>196</v>
      </c>
      <c r="F8" s="45" t="s">
        <v>89</v>
      </c>
      <c r="G8" s="1">
        <v>2</v>
      </c>
      <c r="H8" s="1" t="s">
        <v>155</v>
      </c>
      <c r="J8" s="1" t="s">
        <v>264</v>
      </c>
      <c r="K8" s="1" t="s">
        <v>177</v>
      </c>
      <c r="L8" s="1" t="s">
        <v>197</v>
      </c>
      <c r="M8" s="31"/>
      <c r="O8" s="1">
        <v>0</v>
      </c>
      <c r="P8" s="1">
        <v>0</v>
      </c>
      <c r="Q8" s="1">
        <v>3</v>
      </c>
      <c r="R8" s="1">
        <v>2</v>
      </c>
      <c r="S8" s="1" t="s">
        <v>179</v>
      </c>
      <c r="T8" s="1">
        <v>1</v>
      </c>
      <c r="U8" s="31"/>
      <c r="X8" s="1" t="s">
        <v>183</v>
      </c>
      <c r="AC8" s="31"/>
      <c r="AD8" s="1">
        <v>45</v>
      </c>
      <c r="AE8" s="1">
        <v>5.2</v>
      </c>
      <c r="AF8" s="35">
        <v>300</v>
      </c>
      <c r="AG8" s="35">
        <v>7</v>
      </c>
      <c r="AH8" s="35">
        <v>10</v>
      </c>
      <c r="AI8" s="1">
        <v>740</v>
      </c>
      <c r="AJ8" s="35" t="s">
        <v>180</v>
      </c>
      <c r="AK8" s="1">
        <v>6</v>
      </c>
      <c r="AO8" s="60" t="s">
        <v>215</v>
      </c>
      <c r="AP8" s="35">
        <v>1</v>
      </c>
    </row>
    <row r="9" spans="1:72">
      <c r="A9" s="1">
        <v>8</v>
      </c>
      <c r="B9" s="1" t="s">
        <v>174</v>
      </c>
      <c r="C9" s="1" t="s">
        <v>189</v>
      </c>
      <c r="E9" s="1" t="s">
        <v>193</v>
      </c>
      <c r="F9" s="45" t="s">
        <v>32</v>
      </c>
      <c r="G9" s="1">
        <v>2</v>
      </c>
      <c r="H9" s="1" t="s">
        <v>220</v>
      </c>
      <c r="I9" s="1" t="s">
        <v>183</v>
      </c>
      <c r="J9" s="1" t="s">
        <v>264</v>
      </c>
      <c r="K9" s="1" t="s">
        <v>186</v>
      </c>
      <c r="L9" s="1" t="s">
        <v>22</v>
      </c>
      <c r="M9" s="31"/>
      <c r="U9" s="31"/>
      <c r="AC9" s="31"/>
      <c r="AG9" s="35">
        <v>7</v>
      </c>
      <c r="AH9" s="35">
        <v>10</v>
      </c>
      <c r="AI9" s="1">
        <v>8</v>
      </c>
      <c r="AJ9" s="35" t="s">
        <v>180</v>
      </c>
      <c r="AK9" s="1">
        <v>15</v>
      </c>
      <c r="AO9" s="60" t="s">
        <v>189</v>
      </c>
      <c r="AP9" s="35">
        <v>1</v>
      </c>
    </row>
    <row r="10" spans="1:72">
      <c r="A10" s="36">
        <v>9</v>
      </c>
      <c r="B10" s="36" t="s">
        <v>174</v>
      </c>
      <c r="C10" s="36" t="s">
        <v>157</v>
      </c>
      <c r="D10" s="36">
        <v>271150876</v>
      </c>
      <c r="E10" s="36" t="s">
        <v>175</v>
      </c>
      <c r="F10" s="58" t="s">
        <v>114</v>
      </c>
      <c r="G10" s="36">
        <v>1</v>
      </c>
      <c r="H10" s="36" t="s">
        <v>178</v>
      </c>
      <c r="I10" s="36" t="s">
        <v>22</v>
      </c>
      <c r="J10" s="36" t="s">
        <v>176</v>
      </c>
      <c r="K10" s="36" t="s">
        <v>177</v>
      </c>
      <c r="L10" s="36" t="s">
        <v>178</v>
      </c>
      <c r="M10" s="39"/>
      <c r="N10" s="37"/>
      <c r="O10" s="36">
        <v>0</v>
      </c>
      <c r="P10" s="36">
        <v>3</v>
      </c>
      <c r="Q10" s="36">
        <v>1</v>
      </c>
      <c r="R10" s="36">
        <v>0</v>
      </c>
      <c r="S10" s="36" t="s">
        <v>179</v>
      </c>
      <c r="T10" s="36">
        <v>2</v>
      </c>
      <c r="U10" s="39"/>
      <c r="V10" s="37"/>
      <c r="W10" s="37"/>
      <c r="X10" s="37"/>
      <c r="Y10" s="37"/>
      <c r="Z10" s="37"/>
      <c r="AA10" s="37"/>
      <c r="AB10" s="37"/>
      <c r="AC10" s="39"/>
      <c r="AD10" s="36">
        <v>60</v>
      </c>
      <c r="AE10" s="36">
        <v>20.100000000000001</v>
      </c>
      <c r="AF10" s="40">
        <v>300</v>
      </c>
      <c r="AG10" s="40">
        <v>7</v>
      </c>
      <c r="AH10" s="40">
        <v>10</v>
      </c>
      <c r="AI10" s="36">
        <v>910</v>
      </c>
      <c r="AJ10" s="40" t="s">
        <v>180</v>
      </c>
      <c r="AK10" s="36">
        <v>20</v>
      </c>
      <c r="AL10" s="37"/>
      <c r="AM10" s="36">
        <v>4</v>
      </c>
      <c r="AN10" s="36" t="s">
        <v>308</v>
      </c>
      <c r="AO10" s="61"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305</v>
      </c>
      <c r="C11" s="11" t="s">
        <v>179</v>
      </c>
      <c r="D11" s="11">
        <v>288029964</v>
      </c>
      <c r="E11" s="11" t="s">
        <v>238</v>
      </c>
      <c r="F11" s="59" t="s">
        <v>87</v>
      </c>
      <c r="G11" s="11">
        <v>1</v>
      </c>
      <c r="H11" s="11" t="s">
        <v>155</v>
      </c>
      <c r="I11" s="11" t="s">
        <v>178</v>
      </c>
      <c r="J11" s="11" t="s">
        <v>205</v>
      </c>
      <c r="K11" s="11" t="s">
        <v>177</v>
      </c>
      <c r="L11" s="11" t="s">
        <v>178</v>
      </c>
      <c r="M11" s="49"/>
      <c r="N11" s="11">
        <v>6</v>
      </c>
      <c r="O11" s="11">
        <v>0</v>
      </c>
      <c r="P11" s="11">
        <v>5</v>
      </c>
      <c r="Q11" s="11">
        <v>2</v>
      </c>
      <c r="R11" s="11">
        <v>3</v>
      </c>
      <c r="S11" s="11" t="s">
        <v>155</v>
      </c>
      <c r="T11" s="11">
        <v>1</v>
      </c>
      <c r="U11" s="49"/>
      <c r="V11" s="11" t="s">
        <v>178</v>
      </c>
      <c r="W11" s="11" t="s">
        <v>178</v>
      </c>
      <c r="X11" s="11" t="s">
        <v>178</v>
      </c>
      <c r="Y11" s="11" t="s">
        <v>178</v>
      </c>
      <c r="Z11" s="12"/>
      <c r="AA11" s="12"/>
      <c r="AB11" s="12"/>
      <c r="AC11" s="49"/>
      <c r="AD11" s="11">
        <v>58</v>
      </c>
      <c r="AE11" s="11">
        <v>10.5</v>
      </c>
      <c r="AF11" s="50">
        <v>300</v>
      </c>
      <c r="AG11" s="50">
        <v>7</v>
      </c>
      <c r="AH11" s="50">
        <v>10</v>
      </c>
      <c r="AI11" s="11">
        <v>1020</v>
      </c>
      <c r="AJ11" s="50" t="s">
        <v>180</v>
      </c>
      <c r="AK11" s="11">
        <v>15</v>
      </c>
      <c r="AL11" s="12"/>
      <c r="AM11" s="11">
        <v>5</v>
      </c>
      <c r="AN11" s="11" t="s">
        <v>309</v>
      </c>
      <c r="AO11" s="52">
        <v>0</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207</v>
      </c>
      <c r="C12" s="1" t="s">
        <v>157</v>
      </c>
      <c r="D12" s="1">
        <v>283105233</v>
      </c>
      <c r="E12" s="1" t="s">
        <v>175</v>
      </c>
      <c r="F12" s="45" t="s">
        <v>114</v>
      </c>
      <c r="G12" s="1">
        <v>1</v>
      </c>
      <c r="H12" s="1" t="s">
        <v>22</v>
      </c>
      <c r="J12" s="1" t="s">
        <v>176</v>
      </c>
      <c r="K12" s="1" t="s">
        <v>186</v>
      </c>
      <c r="L12" s="1" t="s">
        <v>1</v>
      </c>
      <c r="M12" s="31"/>
      <c r="O12" s="1">
        <v>3</v>
      </c>
      <c r="P12" s="1">
        <v>0</v>
      </c>
      <c r="Q12" s="1">
        <v>0</v>
      </c>
      <c r="R12" s="1">
        <v>0</v>
      </c>
      <c r="S12" s="1" t="s">
        <v>179</v>
      </c>
      <c r="T12" s="1">
        <v>2</v>
      </c>
      <c r="U12" s="31"/>
      <c r="AC12" s="31"/>
      <c r="AD12" s="1">
        <v>65</v>
      </c>
      <c r="AE12" s="1">
        <v>17.399999999999999</v>
      </c>
      <c r="AF12" s="1">
        <v>300</v>
      </c>
      <c r="AG12" s="35">
        <v>7</v>
      </c>
      <c r="AH12" s="35">
        <v>10</v>
      </c>
      <c r="AI12" s="1">
        <v>620</v>
      </c>
      <c r="AJ12" s="35" t="s">
        <v>180</v>
      </c>
      <c r="AK12" s="1">
        <v>15</v>
      </c>
      <c r="AO12" s="60" t="s">
        <v>157</v>
      </c>
      <c r="AP12" s="1">
        <v>2</v>
      </c>
    </row>
    <row r="13" spans="1:72">
      <c r="A13" s="1">
        <v>2</v>
      </c>
      <c r="B13" s="1" t="s">
        <v>207</v>
      </c>
      <c r="C13" s="1" t="s">
        <v>179</v>
      </c>
      <c r="D13" s="1">
        <v>288029963</v>
      </c>
      <c r="E13" s="1" t="s">
        <v>235</v>
      </c>
      <c r="F13" s="45" t="s">
        <v>70</v>
      </c>
      <c r="G13" s="1">
        <v>6</v>
      </c>
      <c r="H13" s="1" t="s">
        <v>22</v>
      </c>
      <c r="I13" s="1" t="s">
        <v>177</v>
      </c>
      <c r="J13" s="1" t="s">
        <v>188</v>
      </c>
      <c r="K13" s="1" t="s">
        <v>177</v>
      </c>
      <c r="L13" s="1" t="s">
        <v>178</v>
      </c>
      <c r="M13" s="31"/>
      <c r="O13" s="1">
        <v>0</v>
      </c>
      <c r="P13" s="1">
        <v>3</v>
      </c>
      <c r="Q13" s="1">
        <v>2</v>
      </c>
      <c r="R13" s="1">
        <v>0</v>
      </c>
      <c r="S13" s="1" t="s">
        <v>179</v>
      </c>
      <c r="T13" s="1">
        <v>4</v>
      </c>
      <c r="U13" s="31"/>
      <c r="W13" s="1" t="s">
        <v>178</v>
      </c>
      <c r="X13" s="1" t="s">
        <v>178</v>
      </c>
      <c r="Y13" s="1" t="s">
        <v>178</v>
      </c>
      <c r="Z13" s="1" t="s">
        <v>178</v>
      </c>
      <c r="AC13" s="31"/>
      <c r="AD13" s="1">
        <v>61</v>
      </c>
      <c r="AE13" s="1">
        <v>10.6</v>
      </c>
      <c r="AF13" s="35">
        <v>300</v>
      </c>
      <c r="AG13" s="35">
        <v>7</v>
      </c>
      <c r="AH13" s="35">
        <v>10</v>
      </c>
      <c r="AI13" s="1">
        <v>630</v>
      </c>
      <c r="AJ13" s="35" t="s">
        <v>180</v>
      </c>
      <c r="AK13" s="1">
        <v>10</v>
      </c>
      <c r="AO13" s="33">
        <v>0</v>
      </c>
      <c r="AP13" s="35">
        <v>2</v>
      </c>
    </row>
    <row r="14" spans="1:72">
      <c r="A14" s="36">
        <v>3</v>
      </c>
      <c r="B14" s="36" t="s">
        <v>207</v>
      </c>
      <c r="C14" s="36" t="s">
        <v>179</v>
      </c>
      <c r="D14" s="36">
        <v>172176247</v>
      </c>
      <c r="E14" s="36" t="s">
        <v>194</v>
      </c>
      <c r="F14" s="58" t="s">
        <v>98</v>
      </c>
      <c r="G14" s="36">
        <v>5</v>
      </c>
      <c r="H14" s="36" t="s">
        <v>22</v>
      </c>
      <c r="I14" s="37"/>
      <c r="J14" s="36" t="s">
        <v>182</v>
      </c>
      <c r="K14" s="36" t="s">
        <v>186</v>
      </c>
      <c r="L14" s="36" t="s">
        <v>22</v>
      </c>
      <c r="M14" s="39"/>
      <c r="N14" s="37"/>
      <c r="O14" s="36">
        <v>3</v>
      </c>
      <c r="P14" s="36">
        <v>0</v>
      </c>
      <c r="Q14" s="36">
        <v>0</v>
      </c>
      <c r="R14" s="36">
        <v>0</v>
      </c>
      <c r="S14" s="36" t="s">
        <v>179</v>
      </c>
      <c r="T14" s="36">
        <v>2</v>
      </c>
      <c r="U14" s="39"/>
      <c r="V14" s="37"/>
      <c r="W14" s="37"/>
      <c r="X14" s="36" t="s">
        <v>178</v>
      </c>
      <c r="Y14" s="37"/>
      <c r="Z14" s="37"/>
      <c r="AA14" s="36" t="s">
        <v>183</v>
      </c>
      <c r="AB14" s="37"/>
      <c r="AC14" s="39"/>
      <c r="AD14" s="36">
        <v>95</v>
      </c>
      <c r="AE14" s="36">
        <v>30.1</v>
      </c>
      <c r="AF14" s="40">
        <v>300</v>
      </c>
      <c r="AG14" s="40">
        <v>7</v>
      </c>
      <c r="AH14" s="40">
        <v>10</v>
      </c>
      <c r="AI14" s="36">
        <v>7</v>
      </c>
      <c r="AJ14" s="40" t="s">
        <v>180</v>
      </c>
      <c r="AK14" s="36">
        <v>20</v>
      </c>
      <c r="AL14" s="37"/>
      <c r="AM14" s="36">
        <v>1</v>
      </c>
      <c r="AN14" s="36" t="s">
        <v>310</v>
      </c>
      <c r="AO14" s="61" t="s">
        <v>203</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207</v>
      </c>
      <c r="C15" s="1" t="s">
        <v>157</v>
      </c>
      <c r="D15" s="1">
        <v>262091946</v>
      </c>
      <c r="E15" s="1" t="s">
        <v>196</v>
      </c>
      <c r="F15" s="45" t="s">
        <v>89</v>
      </c>
      <c r="G15" s="1">
        <v>2</v>
      </c>
      <c r="H15" s="1" t="s">
        <v>22</v>
      </c>
      <c r="J15" s="1" t="s">
        <v>200</v>
      </c>
      <c r="K15" s="1" t="s">
        <v>186</v>
      </c>
      <c r="L15" s="1" t="s">
        <v>197</v>
      </c>
      <c r="M15" s="31"/>
      <c r="N15" s="1">
        <v>4</v>
      </c>
      <c r="O15" s="1">
        <v>0</v>
      </c>
      <c r="P15" s="1">
        <v>0</v>
      </c>
      <c r="Q15" s="1">
        <v>3</v>
      </c>
      <c r="R15" s="1">
        <v>1</v>
      </c>
      <c r="S15" s="1" t="s">
        <v>179</v>
      </c>
      <c r="T15" s="1">
        <v>2</v>
      </c>
      <c r="U15" s="45">
        <v>2</v>
      </c>
      <c r="AC15" s="31"/>
      <c r="AD15" s="1">
        <v>48</v>
      </c>
      <c r="AE15" s="1">
        <v>5.9</v>
      </c>
      <c r="AF15" s="35">
        <v>300</v>
      </c>
      <c r="AG15" s="35">
        <v>7</v>
      </c>
      <c r="AH15" s="35">
        <v>10</v>
      </c>
      <c r="AI15" s="1">
        <v>730</v>
      </c>
      <c r="AJ15" s="35" t="s">
        <v>180</v>
      </c>
      <c r="AK15" s="1">
        <v>6</v>
      </c>
      <c r="AM15" s="1">
        <v>2</v>
      </c>
      <c r="AN15" s="1" t="s">
        <v>311</v>
      </c>
      <c r="AO15" s="33" t="s">
        <v>157</v>
      </c>
      <c r="AP15" s="35">
        <v>2</v>
      </c>
    </row>
    <row r="16" spans="1:72">
      <c r="A16" s="1">
        <v>5</v>
      </c>
      <c r="B16" s="1" t="s">
        <v>207</v>
      </c>
      <c r="C16" s="1" t="s">
        <v>179</v>
      </c>
      <c r="D16" s="1">
        <v>290077847</v>
      </c>
      <c r="E16" s="1" t="s">
        <v>196</v>
      </c>
      <c r="F16" s="45" t="s">
        <v>89</v>
      </c>
      <c r="G16" s="1">
        <v>2</v>
      </c>
      <c r="H16" s="1" t="s">
        <v>22</v>
      </c>
      <c r="J16" s="1" t="s">
        <v>232</v>
      </c>
      <c r="K16" s="1" t="s">
        <v>186</v>
      </c>
      <c r="L16" s="1" t="s">
        <v>197</v>
      </c>
      <c r="M16" s="31"/>
      <c r="N16" s="1">
        <v>3</v>
      </c>
      <c r="O16" s="1">
        <v>0</v>
      </c>
      <c r="P16" s="1">
        <v>0</v>
      </c>
      <c r="Q16" s="1">
        <v>2</v>
      </c>
      <c r="R16" s="1">
        <v>0</v>
      </c>
      <c r="S16" s="1" t="s">
        <v>179</v>
      </c>
      <c r="T16" s="1">
        <v>2</v>
      </c>
      <c r="U16" s="45">
        <v>2</v>
      </c>
      <c r="W16" s="1" t="s">
        <v>183</v>
      </c>
      <c r="AC16" s="31"/>
      <c r="AD16" s="1">
        <v>46</v>
      </c>
      <c r="AE16" s="1">
        <v>5.3</v>
      </c>
      <c r="AF16" s="35">
        <v>300</v>
      </c>
      <c r="AG16" s="35">
        <v>7</v>
      </c>
      <c r="AH16" s="35">
        <v>10</v>
      </c>
      <c r="AI16" s="1">
        <v>730</v>
      </c>
      <c r="AJ16" s="35" t="s">
        <v>180</v>
      </c>
      <c r="AK16" s="1">
        <v>6</v>
      </c>
      <c r="AM16" s="1">
        <v>3</v>
      </c>
      <c r="AN16" s="1" t="s">
        <v>312</v>
      </c>
      <c r="AO16" s="33" t="s">
        <v>215</v>
      </c>
      <c r="AP16" s="35">
        <v>2</v>
      </c>
    </row>
    <row r="17" spans="1:72">
      <c r="A17" s="36">
        <v>6</v>
      </c>
      <c r="B17" s="36" t="s">
        <v>207</v>
      </c>
      <c r="C17" s="36" t="s">
        <v>179</v>
      </c>
      <c r="D17" s="36">
        <v>172176249</v>
      </c>
      <c r="E17" s="36" t="s">
        <v>194</v>
      </c>
      <c r="F17" s="58" t="s">
        <v>98</v>
      </c>
      <c r="G17" s="36">
        <v>1</v>
      </c>
      <c r="H17" s="37"/>
      <c r="I17" s="37"/>
      <c r="J17" s="36" t="s">
        <v>176</v>
      </c>
      <c r="K17" s="36" t="s">
        <v>186</v>
      </c>
      <c r="L17" s="36" t="s">
        <v>1</v>
      </c>
      <c r="M17" s="39"/>
      <c r="N17" s="37"/>
      <c r="O17" s="36">
        <v>3</v>
      </c>
      <c r="P17" s="36">
        <v>0</v>
      </c>
      <c r="Q17" s="36">
        <v>1</v>
      </c>
      <c r="R17" s="36">
        <v>0</v>
      </c>
      <c r="S17" s="36" t="s">
        <v>179</v>
      </c>
      <c r="T17" s="36">
        <v>4</v>
      </c>
      <c r="U17" s="39"/>
      <c r="V17" s="37"/>
      <c r="W17" s="37"/>
      <c r="X17" s="37"/>
      <c r="Y17" s="37"/>
      <c r="Z17" s="37"/>
      <c r="AA17" s="36" t="s">
        <v>189</v>
      </c>
      <c r="AB17" s="37"/>
      <c r="AC17" s="39"/>
      <c r="AD17" s="36">
        <v>92</v>
      </c>
      <c r="AE17" s="36">
        <v>30.5</v>
      </c>
      <c r="AF17" s="40">
        <v>300</v>
      </c>
      <c r="AG17" s="40">
        <v>7</v>
      </c>
      <c r="AH17" s="40">
        <v>10</v>
      </c>
      <c r="AI17" s="36">
        <v>920</v>
      </c>
      <c r="AJ17" s="40" t="s">
        <v>180</v>
      </c>
      <c r="AK17" s="36">
        <v>15</v>
      </c>
      <c r="AL17" s="37"/>
      <c r="AM17" s="36">
        <v>4</v>
      </c>
      <c r="AN17" s="36" t="s">
        <v>313</v>
      </c>
      <c r="AO17" s="61" t="s">
        <v>203</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1">
        <v>7</v>
      </c>
      <c r="B18" s="11" t="s">
        <v>207</v>
      </c>
      <c r="C18" s="11" t="s">
        <v>179</v>
      </c>
      <c r="D18" s="11">
        <v>230196613</v>
      </c>
      <c r="E18" s="11" t="s">
        <v>280</v>
      </c>
      <c r="F18" s="59" t="s">
        <v>128</v>
      </c>
      <c r="G18" s="11">
        <v>6</v>
      </c>
      <c r="H18" s="11" t="s">
        <v>22</v>
      </c>
      <c r="I18" s="12"/>
      <c r="J18" s="11" t="s">
        <v>188</v>
      </c>
      <c r="K18" s="11" t="s">
        <v>186</v>
      </c>
      <c r="L18" s="11" t="s">
        <v>1</v>
      </c>
      <c r="M18" s="49"/>
      <c r="N18" s="12"/>
      <c r="O18" s="11">
        <v>3</v>
      </c>
      <c r="P18" s="11">
        <v>0</v>
      </c>
      <c r="Q18" s="11">
        <v>1</v>
      </c>
      <c r="R18" s="11">
        <v>0</v>
      </c>
      <c r="S18" s="11" t="s">
        <v>179</v>
      </c>
      <c r="T18" s="11">
        <v>3</v>
      </c>
      <c r="U18" s="49"/>
      <c r="V18" s="12"/>
      <c r="W18" s="12"/>
      <c r="X18" s="12"/>
      <c r="Y18" s="12"/>
      <c r="Z18" s="12"/>
      <c r="AA18" s="12"/>
      <c r="AB18" s="12"/>
      <c r="AC18" s="49"/>
      <c r="AD18" s="11">
        <v>101</v>
      </c>
      <c r="AE18" s="11">
        <v>45.1</v>
      </c>
      <c r="AF18" s="50">
        <v>300</v>
      </c>
      <c r="AG18" s="50">
        <v>7</v>
      </c>
      <c r="AH18" s="50">
        <v>10</v>
      </c>
      <c r="AI18" s="11">
        <v>920</v>
      </c>
      <c r="AJ18" s="50" t="s">
        <v>180</v>
      </c>
      <c r="AK18" s="11">
        <v>9</v>
      </c>
      <c r="AL18" s="12"/>
      <c r="AM18" s="11">
        <v>5</v>
      </c>
      <c r="AN18" s="11" t="s">
        <v>314</v>
      </c>
      <c r="AO18" s="62" t="s">
        <v>184</v>
      </c>
      <c r="AP18" s="50">
        <v>2</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227</v>
      </c>
      <c r="C19" s="1" t="s">
        <v>179</v>
      </c>
      <c r="D19" s="1">
        <v>290077842</v>
      </c>
      <c r="E19" s="1" t="s">
        <v>204</v>
      </c>
      <c r="F19" s="45" t="s">
        <v>88</v>
      </c>
      <c r="G19" s="1">
        <v>1</v>
      </c>
      <c r="H19" s="1" t="s">
        <v>155</v>
      </c>
      <c r="I19" s="1" t="s">
        <v>22</v>
      </c>
      <c r="J19" s="1" t="s">
        <v>176</v>
      </c>
      <c r="K19" s="1" t="s">
        <v>189</v>
      </c>
      <c r="M19" s="31"/>
      <c r="N19" s="1">
        <v>6</v>
      </c>
      <c r="O19" s="1">
        <v>0</v>
      </c>
      <c r="P19" s="1">
        <v>0</v>
      </c>
      <c r="Q19" s="1">
        <v>1</v>
      </c>
      <c r="R19" s="1">
        <v>4</v>
      </c>
      <c r="S19" s="1" t="s">
        <v>155</v>
      </c>
      <c r="T19" s="1">
        <v>2</v>
      </c>
      <c r="U19" s="31"/>
      <c r="AC19" s="31"/>
      <c r="AD19" s="1">
        <v>59</v>
      </c>
      <c r="AE19" s="1">
        <v>9.9</v>
      </c>
      <c r="AF19" s="1">
        <v>300</v>
      </c>
      <c r="AG19" s="35">
        <v>7</v>
      </c>
      <c r="AH19" s="35">
        <v>10</v>
      </c>
      <c r="AI19" s="1">
        <v>6</v>
      </c>
      <c r="AJ19" s="35" t="s">
        <v>180</v>
      </c>
      <c r="AK19" s="1">
        <v>2</v>
      </c>
      <c r="AM19" s="1">
        <v>1</v>
      </c>
      <c r="AN19" s="1" t="s">
        <v>315</v>
      </c>
      <c r="AO19" s="60" t="s">
        <v>215</v>
      </c>
      <c r="AP19" s="1">
        <v>3</v>
      </c>
    </row>
    <row r="20" spans="1:72">
      <c r="A20" s="1">
        <v>2</v>
      </c>
      <c r="B20" s="1" t="s">
        <v>227</v>
      </c>
      <c r="C20" s="1" t="s">
        <v>157</v>
      </c>
      <c r="D20" s="1">
        <v>178168888</v>
      </c>
      <c r="E20" s="1" t="s">
        <v>181</v>
      </c>
      <c r="F20" s="45" t="s">
        <v>115</v>
      </c>
      <c r="G20" s="1">
        <v>1</v>
      </c>
      <c r="H20" s="1" t="s">
        <v>155</v>
      </c>
      <c r="I20" s="1" t="s">
        <v>22</v>
      </c>
      <c r="J20" s="1" t="s">
        <v>176</v>
      </c>
      <c r="K20" s="1" t="s">
        <v>186</v>
      </c>
      <c r="L20" s="1" t="s">
        <v>1</v>
      </c>
      <c r="M20" s="45" t="s">
        <v>22</v>
      </c>
      <c r="N20" s="1">
        <v>6</v>
      </c>
      <c r="O20" s="1">
        <v>3</v>
      </c>
      <c r="P20" s="1">
        <v>0</v>
      </c>
      <c r="Q20" s="1">
        <v>0</v>
      </c>
      <c r="R20" s="1">
        <v>0</v>
      </c>
      <c r="S20" s="1" t="s">
        <v>179</v>
      </c>
      <c r="T20" s="1">
        <v>2</v>
      </c>
      <c r="U20" s="31"/>
      <c r="AC20" s="31"/>
      <c r="AD20" s="1">
        <v>84</v>
      </c>
      <c r="AE20" s="1">
        <v>38.200000000000003</v>
      </c>
      <c r="AF20" s="35">
        <v>300</v>
      </c>
      <c r="AG20" s="35">
        <v>7</v>
      </c>
      <c r="AH20" s="35">
        <v>10</v>
      </c>
      <c r="AI20" s="1">
        <v>630</v>
      </c>
      <c r="AJ20" s="35" t="s">
        <v>180</v>
      </c>
      <c r="AK20" s="1">
        <v>15</v>
      </c>
      <c r="AM20" s="1">
        <v>2</v>
      </c>
      <c r="AN20" s="1" t="s">
        <v>316</v>
      </c>
      <c r="AO20" s="60" t="s">
        <v>157</v>
      </c>
      <c r="AP20" s="35">
        <v>3</v>
      </c>
    </row>
    <row r="21" spans="1:72">
      <c r="A21" s="36">
        <v>3</v>
      </c>
      <c r="B21" s="36" t="s">
        <v>227</v>
      </c>
      <c r="C21" s="36" t="s">
        <v>157</v>
      </c>
      <c r="D21" s="36">
        <v>135291871</v>
      </c>
      <c r="E21" s="36" t="s">
        <v>181</v>
      </c>
      <c r="F21" s="58" t="s">
        <v>115</v>
      </c>
      <c r="G21" s="36">
        <v>2</v>
      </c>
      <c r="H21" s="36" t="s">
        <v>220</v>
      </c>
      <c r="I21" s="36" t="s">
        <v>22</v>
      </c>
      <c r="J21" s="36" t="s">
        <v>232</v>
      </c>
      <c r="K21" s="36" t="s">
        <v>189</v>
      </c>
      <c r="L21" s="37"/>
      <c r="M21" s="39"/>
      <c r="N21" s="36">
        <v>4</v>
      </c>
      <c r="O21" s="36">
        <v>0</v>
      </c>
      <c r="P21" s="36">
        <v>0</v>
      </c>
      <c r="Q21" s="36">
        <v>0</v>
      </c>
      <c r="R21" s="36">
        <v>0</v>
      </c>
      <c r="S21" s="36" t="s">
        <v>179</v>
      </c>
      <c r="T21" s="36">
        <v>1</v>
      </c>
      <c r="U21" s="58">
        <v>3</v>
      </c>
      <c r="V21" s="37"/>
      <c r="W21" s="37"/>
      <c r="X21" s="37"/>
      <c r="Y21" s="37"/>
      <c r="Z21" s="37"/>
      <c r="AA21" s="37"/>
      <c r="AB21" s="37"/>
      <c r="AC21" s="39"/>
      <c r="AD21" s="36">
        <v>77</v>
      </c>
      <c r="AE21" s="36">
        <v>34.799999999999997</v>
      </c>
      <c r="AF21" s="40">
        <v>300</v>
      </c>
      <c r="AG21" s="40">
        <v>7</v>
      </c>
      <c r="AH21" s="40">
        <v>10</v>
      </c>
      <c r="AI21" s="36">
        <v>7</v>
      </c>
      <c r="AJ21" s="40" t="s">
        <v>180</v>
      </c>
      <c r="AK21" s="36">
        <v>15</v>
      </c>
      <c r="AL21" s="37"/>
      <c r="AM21" s="36">
        <v>3</v>
      </c>
      <c r="AN21" s="36" t="s">
        <v>317</v>
      </c>
      <c r="AO21" s="61"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227</v>
      </c>
      <c r="C22" s="1" t="s">
        <v>179</v>
      </c>
      <c r="D22" s="1">
        <v>290077843</v>
      </c>
      <c r="E22" s="1" t="s">
        <v>196</v>
      </c>
      <c r="F22" s="45" t="s">
        <v>89</v>
      </c>
      <c r="G22" s="1">
        <v>1</v>
      </c>
      <c r="H22" s="1" t="s">
        <v>155</v>
      </c>
      <c r="I22" s="1" t="s">
        <v>178</v>
      </c>
      <c r="J22" s="1" t="s">
        <v>176</v>
      </c>
      <c r="K22" s="1" t="s">
        <v>177</v>
      </c>
      <c r="L22" s="1" t="s">
        <v>197</v>
      </c>
      <c r="M22" s="45" t="s">
        <v>178</v>
      </c>
      <c r="N22" s="1">
        <v>6</v>
      </c>
      <c r="O22" s="1">
        <v>0</v>
      </c>
      <c r="P22" s="1">
        <v>2</v>
      </c>
      <c r="Q22" s="1">
        <v>3</v>
      </c>
      <c r="R22" s="1">
        <v>1</v>
      </c>
      <c r="S22" s="1" t="s">
        <v>179</v>
      </c>
      <c r="T22" s="1">
        <v>2</v>
      </c>
      <c r="U22" s="31"/>
      <c r="AC22" s="31"/>
      <c r="AD22" s="1">
        <v>46</v>
      </c>
      <c r="AE22" s="1">
        <v>5.5</v>
      </c>
      <c r="AF22" s="35">
        <v>300</v>
      </c>
      <c r="AG22" s="35">
        <v>7</v>
      </c>
      <c r="AH22" s="35">
        <v>10</v>
      </c>
      <c r="AI22" s="1">
        <v>740</v>
      </c>
      <c r="AJ22" s="35" t="s">
        <v>180</v>
      </c>
      <c r="AK22" s="1">
        <v>6</v>
      </c>
      <c r="AO22" s="60" t="s">
        <v>215</v>
      </c>
      <c r="AP22" s="35">
        <v>3</v>
      </c>
    </row>
    <row r="23" spans="1:72">
      <c r="A23" s="1">
        <v>5</v>
      </c>
      <c r="B23" s="1" t="s">
        <v>227</v>
      </c>
      <c r="C23" s="1" t="s">
        <v>179</v>
      </c>
      <c r="D23" s="1">
        <v>290077846</v>
      </c>
      <c r="E23" s="1" t="s">
        <v>196</v>
      </c>
      <c r="F23" s="45" t="s">
        <v>89</v>
      </c>
      <c r="G23" s="1">
        <v>1</v>
      </c>
      <c r="H23" s="1" t="s">
        <v>155</v>
      </c>
      <c r="I23" s="1" t="s">
        <v>178</v>
      </c>
      <c r="J23" s="1" t="s">
        <v>176</v>
      </c>
      <c r="K23" s="1" t="s">
        <v>177</v>
      </c>
      <c r="L23" s="1" t="s">
        <v>197</v>
      </c>
      <c r="M23" s="45" t="s">
        <v>178</v>
      </c>
      <c r="N23" s="1">
        <v>6</v>
      </c>
      <c r="O23" s="1">
        <v>0</v>
      </c>
      <c r="P23" s="1">
        <v>2</v>
      </c>
      <c r="Q23" s="1">
        <v>3</v>
      </c>
      <c r="R23" s="1">
        <v>0</v>
      </c>
      <c r="S23" s="1" t="s">
        <v>179</v>
      </c>
      <c r="T23" s="1">
        <v>2</v>
      </c>
      <c r="U23" s="31"/>
      <c r="AC23" s="31"/>
      <c r="AD23" s="1">
        <v>46</v>
      </c>
      <c r="AE23" s="1">
        <v>5.4</v>
      </c>
      <c r="AF23" s="35">
        <v>300</v>
      </c>
      <c r="AG23" s="35">
        <v>7</v>
      </c>
      <c r="AH23" s="35">
        <v>10</v>
      </c>
      <c r="AI23" s="1">
        <v>740</v>
      </c>
      <c r="AJ23" s="35" t="s">
        <v>180</v>
      </c>
      <c r="AK23" s="1">
        <v>6</v>
      </c>
      <c r="AO23" s="60" t="s">
        <v>215</v>
      </c>
      <c r="AP23" s="35">
        <v>3</v>
      </c>
    </row>
    <row r="24" spans="1:72">
      <c r="A24" s="36">
        <v>6</v>
      </c>
      <c r="B24" s="36" t="s">
        <v>305</v>
      </c>
      <c r="C24" s="36" t="s">
        <v>179</v>
      </c>
      <c r="D24" s="36">
        <v>290077848</v>
      </c>
      <c r="E24" s="36" t="s">
        <v>196</v>
      </c>
      <c r="F24" s="58" t="s">
        <v>89</v>
      </c>
      <c r="G24" s="36">
        <v>2</v>
      </c>
      <c r="H24" s="36" t="s">
        <v>155</v>
      </c>
      <c r="I24" s="36" t="s">
        <v>22</v>
      </c>
      <c r="J24" s="36" t="s">
        <v>232</v>
      </c>
      <c r="K24" s="36" t="s">
        <v>186</v>
      </c>
      <c r="L24" s="36" t="s">
        <v>197</v>
      </c>
      <c r="M24" s="39"/>
      <c r="N24" s="36">
        <v>2</v>
      </c>
      <c r="O24" s="36">
        <v>0</v>
      </c>
      <c r="P24" s="36">
        <v>0</v>
      </c>
      <c r="Q24" s="36">
        <v>2</v>
      </c>
      <c r="R24" s="36">
        <v>0</v>
      </c>
      <c r="S24" s="36" t="s">
        <v>179</v>
      </c>
      <c r="T24" s="36">
        <v>2</v>
      </c>
      <c r="U24" s="39"/>
      <c r="V24" s="37"/>
      <c r="W24" s="37"/>
      <c r="X24" s="37"/>
      <c r="Y24" s="37"/>
      <c r="Z24" s="37"/>
      <c r="AA24" s="37"/>
      <c r="AB24" s="37"/>
      <c r="AC24" s="39"/>
      <c r="AD24" s="36">
        <v>47</v>
      </c>
      <c r="AE24" s="36">
        <v>5.3</v>
      </c>
      <c r="AF24" s="40">
        <v>300</v>
      </c>
      <c r="AG24" s="40">
        <v>7</v>
      </c>
      <c r="AH24" s="40">
        <v>10</v>
      </c>
      <c r="AI24" s="36">
        <v>740</v>
      </c>
      <c r="AJ24" s="40" t="s">
        <v>180</v>
      </c>
      <c r="AK24" s="36">
        <v>6</v>
      </c>
      <c r="AL24" s="37"/>
      <c r="AM24" s="37"/>
      <c r="AN24" s="37"/>
      <c r="AO24" s="61" t="s">
        <v>215</v>
      </c>
      <c r="AP24" s="40">
        <v>3</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227</v>
      </c>
      <c r="C25" s="1" t="s">
        <v>157</v>
      </c>
      <c r="D25" s="1">
        <v>804191913</v>
      </c>
      <c r="E25" s="1" t="s">
        <v>181</v>
      </c>
      <c r="F25" s="45" t="s">
        <v>115</v>
      </c>
      <c r="G25" s="1">
        <v>1</v>
      </c>
      <c r="H25" s="1" t="s">
        <v>155</v>
      </c>
      <c r="I25" s="1" t="s">
        <v>22</v>
      </c>
      <c r="J25" s="1" t="s">
        <v>176</v>
      </c>
      <c r="K25" s="1" t="s">
        <v>177</v>
      </c>
      <c r="L25" s="1" t="s">
        <v>178</v>
      </c>
      <c r="M25" s="45" t="s">
        <v>22</v>
      </c>
      <c r="N25" s="1">
        <v>6</v>
      </c>
      <c r="O25" s="1">
        <v>0</v>
      </c>
      <c r="P25" s="1">
        <v>4</v>
      </c>
      <c r="Q25" s="1">
        <v>1</v>
      </c>
      <c r="R25" s="1">
        <v>0</v>
      </c>
      <c r="S25" s="1" t="s">
        <v>179</v>
      </c>
      <c r="T25" s="1">
        <v>3</v>
      </c>
      <c r="U25" s="31"/>
      <c r="AC25" s="31"/>
      <c r="AD25" s="1">
        <v>81</v>
      </c>
      <c r="AE25" s="1">
        <v>39.4</v>
      </c>
      <c r="AF25" s="35">
        <v>300</v>
      </c>
      <c r="AG25" s="35">
        <v>7</v>
      </c>
      <c r="AH25" s="35">
        <v>10</v>
      </c>
      <c r="AI25" s="1">
        <v>810</v>
      </c>
      <c r="AJ25" s="35" t="s">
        <v>180</v>
      </c>
      <c r="AK25" s="1">
        <v>2</v>
      </c>
      <c r="AM25" s="1">
        <v>4</v>
      </c>
      <c r="AN25" s="1" t="s">
        <v>318</v>
      </c>
      <c r="AO25" s="60" t="s">
        <v>157</v>
      </c>
      <c r="AP25" s="35">
        <v>3</v>
      </c>
    </row>
    <row r="26" spans="1:72">
      <c r="A26" s="1">
        <v>8</v>
      </c>
      <c r="B26" s="1" t="s">
        <v>305</v>
      </c>
      <c r="C26" s="1" t="s">
        <v>157</v>
      </c>
      <c r="D26" s="1">
        <v>172176244</v>
      </c>
      <c r="E26" s="1" t="s">
        <v>175</v>
      </c>
      <c r="F26" s="45" t="s">
        <v>114</v>
      </c>
      <c r="G26" s="1">
        <v>1</v>
      </c>
      <c r="H26" s="1" t="s">
        <v>22</v>
      </c>
      <c r="I26" s="1" t="s">
        <v>1</v>
      </c>
      <c r="J26" s="1" t="s">
        <v>176</v>
      </c>
      <c r="K26" s="1" t="s">
        <v>186</v>
      </c>
      <c r="L26" s="1" t="s">
        <v>1</v>
      </c>
      <c r="M26" s="45" t="s">
        <v>22</v>
      </c>
      <c r="O26" s="1">
        <v>3</v>
      </c>
      <c r="P26" s="1">
        <v>0</v>
      </c>
      <c r="Q26" s="1">
        <v>1</v>
      </c>
      <c r="R26" s="1">
        <v>0</v>
      </c>
      <c r="S26" s="1" t="s">
        <v>179</v>
      </c>
      <c r="T26" s="1">
        <v>2</v>
      </c>
      <c r="U26" s="31"/>
      <c r="AC26" s="31"/>
      <c r="AD26" s="1">
        <v>67</v>
      </c>
      <c r="AE26" s="1">
        <v>23.5</v>
      </c>
      <c r="AF26" s="35">
        <v>300</v>
      </c>
      <c r="AG26" s="35">
        <v>7</v>
      </c>
      <c r="AH26" s="35">
        <v>10</v>
      </c>
      <c r="AI26" s="1">
        <v>910</v>
      </c>
      <c r="AJ26" s="35" t="s">
        <v>180</v>
      </c>
      <c r="AK26" s="1">
        <v>21</v>
      </c>
      <c r="AM26" s="1">
        <v>5</v>
      </c>
      <c r="AN26" s="1" t="s">
        <v>319</v>
      </c>
      <c r="AO26" s="60" t="s">
        <v>157</v>
      </c>
      <c r="AP26" s="35">
        <v>3</v>
      </c>
    </row>
    <row r="27" spans="1:72">
      <c r="A27" s="36">
        <v>9</v>
      </c>
      <c r="B27" s="36" t="s">
        <v>227</v>
      </c>
      <c r="C27" s="36" t="s">
        <v>179</v>
      </c>
      <c r="D27" s="36">
        <v>281191243</v>
      </c>
      <c r="E27" s="36" t="s">
        <v>199</v>
      </c>
      <c r="F27" s="58" t="s">
        <v>111</v>
      </c>
      <c r="G27" s="36">
        <v>5</v>
      </c>
      <c r="H27" s="36" t="s">
        <v>22</v>
      </c>
      <c r="I27" s="37"/>
      <c r="J27" s="36" t="s">
        <v>320</v>
      </c>
      <c r="K27" s="36" t="s">
        <v>186</v>
      </c>
      <c r="L27" s="36" t="s">
        <v>22</v>
      </c>
      <c r="M27" s="39"/>
      <c r="N27" s="36">
        <v>6</v>
      </c>
      <c r="O27" s="36">
        <v>0</v>
      </c>
      <c r="P27" s="36">
        <v>0</v>
      </c>
      <c r="Q27" s="36">
        <v>0</v>
      </c>
      <c r="R27" s="36">
        <v>0</v>
      </c>
      <c r="S27" s="36" t="s">
        <v>155</v>
      </c>
      <c r="T27" s="36">
        <v>3</v>
      </c>
      <c r="U27" s="39"/>
      <c r="V27" s="37"/>
      <c r="W27" s="37"/>
      <c r="X27" s="37"/>
      <c r="Y27" s="37"/>
      <c r="Z27" s="37"/>
      <c r="AA27" s="37"/>
      <c r="AB27" s="37"/>
      <c r="AC27" s="39"/>
      <c r="AD27" s="36">
        <v>73</v>
      </c>
      <c r="AE27" s="37"/>
      <c r="AF27" s="40">
        <v>300</v>
      </c>
      <c r="AG27" s="40">
        <v>7</v>
      </c>
      <c r="AH27" s="40">
        <v>10</v>
      </c>
      <c r="AI27" s="36">
        <v>940</v>
      </c>
      <c r="AJ27" s="40" t="s">
        <v>180</v>
      </c>
      <c r="AK27" s="36">
        <v>2</v>
      </c>
      <c r="AL27" s="37"/>
      <c r="AM27" s="36">
        <v>6</v>
      </c>
      <c r="AN27" s="36" t="s">
        <v>321</v>
      </c>
      <c r="AO27" s="61">
        <v>1</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227</v>
      </c>
      <c r="C28" s="1" t="s">
        <v>179</v>
      </c>
      <c r="D28" s="1">
        <v>172176250</v>
      </c>
      <c r="E28" s="1" t="s">
        <v>175</v>
      </c>
      <c r="F28" s="45" t="s">
        <v>114</v>
      </c>
      <c r="G28" s="1">
        <v>2</v>
      </c>
      <c r="H28" s="1" t="s">
        <v>155</v>
      </c>
      <c r="I28" s="1" t="s">
        <v>22</v>
      </c>
      <c r="J28" s="1" t="s">
        <v>232</v>
      </c>
      <c r="K28" s="1" t="s">
        <v>189</v>
      </c>
      <c r="M28" s="31"/>
      <c r="N28" s="1">
        <v>5</v>
      </c>
      <c r="O28" s="1">
        <v>0</v>
      </c>
      <c r="P28" s="1">
        <v>0</v>
      </c>
      <c r="Q28" s="1">
        <v>0</v>
      </c>
      <c r="R28" s="1">
        <v>0</v>
      </c>
      <c r="S28" s="1" t="s">
        <v>179</v>
      </c>
      <c r="T28" s="1">
        <v>1</v>
      </c>
      <c r="U28" s="45">
        <v>3</v>
      </c>
      <c r="AC28" s="31"/>
      <c r="AD28" s="1">
        <v>67</v>
      </c>
      <c r="AE28" s="1">
        <v>21.3</v>
      </c>
      <c r="AF28" s="35">
        <v>300</v>
      </c>
      <c r="AG28" s="35">
        <v>7</v>
      </c>
      <c r="AH28" s="35">
        <v>10</v>
      </c>
      <c r="AI28" s="1">
        <v>1020</v>
      </c>
      <c r="AJ28" s="35" t="s">
        <v>180</v>
      </c>
      <c r="AK28" s="1">
        <v>6</v>
      </c>
      <c r="AM28" s="1">
        <v>7</v>
      </c>
      <c r="AN28" s="1" t="s">
        <v>322</v>
      </c>
      <c r="AO28" s="60" t="s">
        <v>203</v>
      </c>
      <c r="AP28" s="35">
        <v>3</v>
      </c>
    </row>
    <row r="29" spans="1:72">
      <c r="A29" s="1">
        <v>11</v>
      </c>
      <c r="B29" s="1" t="s">
        <v>174</v>
      </c>
      <c r="C29" s="1" t="s">
        <v>189</v>
      </c>
      <c r="E29" s="1" t="s">
        <v>192</v>
      </c>
      <c r="F29" s="45" t="s">
        <v>37</v>
      </c>
      <c r="G29" s="1">
        <v>2</v>
      </c>
      <c r="H29" s="1" t="s">
        <v>220</v>
      </c>
      <c r="I29" s="1" t="s">
        <v>22</v>
      </c>
      <c r="J29" s="1" t="s">
        <v>264</v>
      </c>
      <c r="K29" s="1" t="s">
        <v>186</v>
      </c>
      <c r="L29" s="1" t="s">
        <v>22</v>
      </c>
      <c r="M29" s="31"/>
      <c r="U29" s="31"/>
      <c r="AC29" s="31"/>
      <c r="AG29" s="35">
        <v>7</v>
      </c>
      <c r="AH29" s="35">
        <v>10</v>
      </c>
      <c r="AI29" s="1">
        <v>1040</v>
      </c>
      <c r="AJ29" s="35" t="s">
        <v>180</v>
      </c>
      <c r="AK29" s="1">
        <v>21</v>
      </c>
      <c r="AO29" s="60" t="s">
        <v>189</v>
      </c>
      <c r="AP29" s="35">
        <v>3</v>
      </c>
    </row>
    <row r="30" spans="1:72">
      <c r="A30" s="11">
        <v>12</v>
      </c>
      <c r="B30" s="11" t="s">
        <v>174</v>
      </c>
      <c r="C30" s="11" t="s">
        <v>189</v>
      </c>
      <c r="D30" s="12"/>
      <c r="E30" s="11" t="s">
        <v>193</v>
      </c>
      <c r="F30" s="59" t="s">
        <v>32</v>
      </c>
      <c r="G30" s="11">
        <v>2</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v>
      </c>
      <c r="AH30" s="50">
        <v>10</v>
      </c>
      <c r="AI30" s="11">
        <v>1040</v>
      </c>
      <c r="AJ30" s="50" t="s">
        <v>180</v>
      </c>
      <c r="AK30" s="11">
        <v>21</v>
      </c>
      <c r="AL30" s="12"/>
      <c r="AM30" s="12"/>
      <c r="AN30" s="12"/>
      <c r="AO30" s="62" t="s">
        <v>189</v>
      </c>
      <c r="AP30" s="50">
        <v>3</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c r="A31" s="1">
        <v>1</v>
      </c>
      <c r="B31" s="1" t="s">
        <v>216</v>
      </c>
      <c r="C31" s="1" t="s">
        <v>157</v>
      </c>
      <c r="D31" s="1">
        <v>283105290</v>
      </c>
      <c r="E31" s="1" t="s">
        <v>194</v>
      </c>
      <c r="F31" s="45" t="s">
        <v>98</v>
      </c>
      <c r="G31" s="1">
        <v>1</v>
      </c>
      <c r="H31" s="1" t="s">
        <v>178</v>
      </c>
      <c r="I31" s="1" t="s">
        <v>22</v>
      </c>
      <c r="J31" s="1" t="s">
        <v>182</v>
      </c>
      <c r="K31" s="1" t="s">
        <v>177</v>
      </c>
      <c r="L31" s="1" t="s">
        <v>178</v>
      </c>
      <c r="M31" s="31"/>
      <c r="O31" s="1">
        <v>0</v>
      </c>
      <c r="P31" s="1">
        <v>3</v>
      </c>
      <c r="Q31" s="1">
        <v>0</v>
      </c>
      <c r="R31" s="1">
        <v>0</v>
      </c>
      <c r="S31" s="1" t="s">
        <v>179</v>
      </c>
      <c r="T31" s="1">
        <v>3</v>
      </c>
      <c r="U31" s="31"/>
      <c r="AA31" s="1" t="s">
        <v>183</v>
      </c>
      <c r="AC31" s="31"/>
      <c r="AD31" s="1">
        <v>93</v>
      </c>
      <c r="AE31" s="1">
        <v>27.5</v>
      </c>
      <c r="AF31" s="1">
        <v>300</v>
      </c>
      <c r="AG31" s="35">
        <v>7</v>
      </c>
      <c r="AH31" s="35">
        <v>10</v>
      </c>
      <c r="AI31" s="120">
        <v>6</v>
      </c>
      <c r="AJ31" s="35" t="s">
        <v>180</v>
      </c>
      <c r="AK31" s="1">
        <v>14</v>
      </c>
      <c r="AM31" s="1">
        <v>1</v>
      </c>
      <c r="AN31" s="1" t="s">
        <v>323</v>
      </c>
      <c r="AO31" s="60" t="s">
        <v>157</v>
      </c>
      <c r="AP31" s="1">
        <v>4</v>
      </c>
    </row>
    <row r="32" spans="1:72">
      <c r="A32" s="1">
        <v>2</v>
      </c>
      <c r="B32" s="1" t="s">
        <v>216</v>
      </c>
      <c r="C32" s="1" t="s">
        <v>179</v>
      </c>
      <c r="D32" s="1">
        <v>281191241</v>
      </c>
      <c r="E32" s="1" t="s">
        <v>229</v>
      </c>
      <c r="F32" s="45" t="s">
        <v>95</v>
      </c>
      <c r="G32" s="1">
        <v>2</v>
      </c>
      <c r="H32" s="1" t="s">
        <v>155</v>
      </c>
      <c r="J32" s="1" t="s">
        <v>232</v>
      </c>
      <c r="K32" s="1" t="s">
        <v>189</v>
      </c>
      <c r="M32" s="31"/>
      <c r="Q32" s="1">
        <v>3</v>
      </c>
      <c r="T32" s="1">
        <v>2</v>
      </c>
      <c r="U32" s="31"/>
      <c r="AA32" s="1" t="s">
        <v>183</v>
      </c>
      <c r="AC32" s="31"/>
      <c r="AD32" s="1">
        <v>49</v>
      </c>
      <c r="AE32" s="1">
        <v>10.3</v>
      </c>
      <c r="AF32" s="35">
        <v>300</v>
      </c>
      <c r="AG32" s="35">
        <v>7</v>
      </c>
      <c r="AH32" s="35">
        <v>10</v>
      </c>
      <c r="AI32" s="120">
        <v>630</v>
      </c>
      <c r="AJ32" s="35" t="s">
        <v>180</v>
      </c>
      <c r="AK32" s="1">
        <v>6</v>
      </c>
      <c r="AM32" s="1">
        <v>2</v>
      </c>
      <c r="AN32" s="1" t="s">
        <v>324</v>
      </c>
      <c r="AO32" s="60">
        <v>1</v>
      </c>
      <c r="AP32" s="35">
        <v>4</v>
      </c>
    </row>
    <row r="33" spans="1:72">
      <c r="A33" s="36">
        <v>3</v>
      </c>
      <c r="B33" s="36" t="s">
        <v>216</v>
      </c>
      <c r="C33" s="36" t="s">
        <v>179</v>
      </c>
      <c r="D33" s="36">
        <v>135291876</v>
      </c>
      <c r="E33" s="36" t="s">
        <v>191</v>
      </c>
      <c r="F33" s="58" t="s">
        <v>99</v>
      </c>
      <c r="G33" s="36">
        <v>2</v>
      </c>
      <c r="H33" s="36" t="s">
        <v>22</v>
      </c>
      <c r="I33" s="37"/>
      <c r="J33" s="36" t="s">
        <v>232</v>
      </c>
      <c r="K33" s="36" t="s">
        <v>189</v>
      </c>
      <c r="L33" s="37"/>
      <c r="M33" s="39"/>
      <c r="N33" s="37"/>
      <c r="O33" s="36">
        <v>0</v>
      </c>
      <c r="P33" s="36">
        <v>0</v>
      </c>
      <c r="Q33" s="36">
        <v>1</v>
      </c>
      <c r="R33" s="36">
        <v>0</v>
      </c>
      <c r="S33" s="36" t="s">
        <v>179</v>
      </c>
      <c r="T33" s="36">
        <v>3</v>
      </c>
      <c r="U33" s="39"/>
      <c r="V33" s="37"/>
      <c r="W33" s="37"/>
      <c r="X33" s="37"/>
      <c r="Y33" s="37"/>
      <c r="Z33" s="37"/>
      <c r="AA33" s="36" t="s">
        <v>183</v>
      </c>
      <c r="AB33" s="37"/>
      <c r="AC33" s="39"/>
      <c r="AD33" s="36">
        <v>124</v>
      </c>
      <c r="AE33" s="36">
        <v>77.3</v>
      </c>
      <c r="AF33" s="40">
        <v>300</v>
      </c>
      <c r="AG33" s="40">
        <v>7</v>
      </c>
      <c r="AH33" s="40">
        <v>10</v>
      </c>
      <c r="AI33" s="37">
        <v>7</v>
      </c>
      <c r="AJ33" s="40" t="s">
        <v>180</v>
      </c>
      <c r="AK33" s="36">
        <v>15</v>
      </c>
      <c r="AL33" s="37"/>
      <c r="AM33" s="37"/>
      <c r="AN33" s="37"/>
      <c r="AO33" s="61">
        <v>2</v>
      </c>
      <c r="AP33" s="40">
        <v>4</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4</v>
      </c>
      <c r="B34" s="1" t="s">
        <v>216</v>
      </c>
      <c r="C34" s="1" t="s">
        <v>179</v>
      </c>
      <c r="D34" s="1">
        <v>135291877</v>
      </c>
      <c r="E34" s="1" t="s">
        <v>181</v>
      </c>
      <c r="F34" s="45" t="s">
        <v>115</v>
      </c>
      <c r="G34" s="1">
        <v>2</v>
      </c>
      <c r="H34" s="1" t="s">
        <v>22</v>
      </c>
      <c r="J34" s="1" t="s">
        <v>232</v>
      </c>
      <c r="K34" s="1" t="s">
        <v>189</v>
      </c>
      <c r="M34" s="31"/>
      <c r="O34" s="1">
        <v>0</v>
      </c>
      <c r="P34" s="1">
        <v>0</v>
      </c>
      <c r="Q34" s="1">
        <v>1</v>
      </c>
      <c r="S34" s="1" t="s">
        <v>183</v>
      </c>
      <c r="T34" s="1">
        <v>1</v>
      </c>
      <c r="U34" s="45">
        <v>3</v>
      </c>
      <c r="X34" s="1" t="s">
        <v>183</v>
      </c>
      <c r="Y34" s="1" t="s">
        <v>183</v>
      </c>
      <c r="AA34" s="1" t="s">
        <v>183</v>
      </c>
      <c r="AC34" s="31"/>
      <c r="AD34" s="1">
        <v>78</v>
      </c>
      <c r="AE34" s="1">
        <v>37.4</v>
      </c>
      <c r="AF34" s="35">
        <v>300</v>
      </c>
      <c r="AG34" s="35">
        <v>7</v>
      </c>
      <c r="AH34" s="35">
        <v>10</v>
      </c>
      <c r="AI34" s="120">
        <v>740</v>
      </c>
      <c r="AJ34" s="35" t="s">
        <v>180</v>
      </c>
      <c r="AK34" s="1">
        <v>9</v>
      </c>
      <c r="AM34" s="1">
        <v>3</v>
      </c>
      <c r="AN34" s="1" t="s">
        <v>325</v>
      </c>
      <c r="AO34" s="60">
        <v>2</v>
      </c>
      <c r="AP34" s="35">
        <v>4</v>
      </c>
    </row>
    <row r="35" spans="1:72">
      <c r="A35" s="1">
        <v>5</v>
      </c>
      <c r="B35" s="1" t="s">
        <v>216</v>
      </c>
      <c r="C35" s="1" t="s">
        <v>179</v>
      </c>
      <c r="D35" s="1">
        <v>172176248</v>
      </c>
      <c r="E35" s="1" t="s">
        <v>175</v>
      </c>
      <c r="F35" s="45" t="s">
        <v>114</v>
      </c>
      <c r="G35" s="1">
        <v>1</v>
      </c>
      <c r="H35" s="1" t="s">
        <v>1</v>
      </c>
      <c r="J35" s="1" t="s">
        <v>232</v>
      </c>
      <c r="M35" s="31"/>
      <c r="O35" s="1">
        <v>3</v>
      </c>
      <c r="P35" s="1">
        <v>0</v>
      </c>
      <c r="Q35" s="1">
        <v>3</v>
      </c>
      <c r="R35" s="1">
        <v>0</v>
      </c>
      <c r="S35" s="1" t="s">
        <v>179</v>
      </c>
      <c r="T35" s="1">
        <v>3</v>
      </c>
      <c r="U35" s="31"/>
      <c r="AA35" s="1" t="s">
        <v>183</v>
      </c>
      <c r="AC35" s="31"/>
      <c r="AD35" s="1">
        <v>69</v>
      </c>
      <c r="AE35" s="1">
        <v>25.5</v>
      </c>
      <c r="AF35" s="35">
        <v>300</v>
      </c>
      <c r="AG35" s="35">
        <v>7</v>
      </c>
      <c r="AH35" s="35">
        <v>10</v>
      </c>
      <c r="AI35" s="120">
        <v>810</v>
      </c>
      <c r="AJ35" s="35" t="s">
        <v>180</v>
      </c>
      <c r="AK35" s="1">
        <v>21</v>
      </c>
      <c r="AO35" s="60" t="s">
        <v>203</v>
      </c>
      <c r="AP35" s="35">
        <v>4</v>
      </c>
    </row>
    <row r="36" spans="1:72">
      <c r="A36" s="36">
        <v>6</v>
      </c>
      <c r="B36" s="36" t="s">
        <v>216</v>
      </c>
      <c r="C36" s="36" t="s">
        <v>157</v>
      </c>
      <c r="D36" s="36">
        <v>221115696</v>
      </c>
      <c r="E36" s="36" t="s">
        <v>181</v>
      </c>
      <c r="F36" s="58" t="s">
        <v>115</v>
      </c>
      <c r="G36" s="36">
        <v>1</v>
      </c>
      <c r="H36" s="36" t="s">
        <v>178</v>
      </c>
      <c r="I36" s="37"/>
      <c r="J36" s="37"/>
      <c r="K36" s="36" t="s">
        <v>177</v>
      </c>
      <c r="L36" s="36" t="s">
        <v>178</v>
      </c>
      <c r="M36" s="39"/>
      <c r="N36" s="37"/>
      <c r="O36" s="36">
        <v>0</v>
      </c>
      <c r="P36" s="36">
        <v>4</v>
      </c>
      <c r="Q36" s="36">
        <v>3</v>
      </c>
      <c r="R36" s="36">
        <v>0</v>
      </c>
      <c r="S36" s="36" t="s">
        <v>179</v>
      </c>
      <c r="T36" s="36">
        <v>2</v>
      </c>
      <c r="U36" s="39"/>
      <c r="V36" s="37"/>
      <c r="W36" s="37"/>
      <c r="X36" s="37"/>
      <c r="Y36" s="37"/>
      <c r="Z36" s="37"/>
      <c r="AA36" s="37"/>
      <c r="AB36" s="37"/>
      <c r="AC36" s="39"/>
      <c r="AD36" s="36">
        <v>79</v>
      </c>
      <c r="AE36" s="36">
        <v>40.200000000000003</v>
      </c>
      <c r="AF36" s="40">
        <v>300</v>
      </c>
      <c r="AG36" s="40">
        <v>7</v>
      </c>
      <c r="AH36" s="40">
        <v>10</v>
      </c>
      <c r="AI36" s="37">
        <v>940</v>
      </c>
      <c r="AJ36" s="40" t="s">
        <v>180</v>
      </c>
      <c r="AK36" s="36">
        <v>2</v>
      </c>
      <c r="AL36" s="37"/>
      <c r="AM36" s="36">
        <v>4</v>
      </c>
      <c r="AN36" s="36" t="s">
        <v>326</v>
      </c>
      <c r="AO36" s="61" t="s">
        <v>157</v>
      </c>
      <c r="AP36" s="40">
        <v>4</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c r="A37" s="1">
        <v>7</v>
      </c>
      <c r="B37" s="1" t="s">
        <v>216</v>
      </c>
      <c r="C37" s="1" t="s">
        <v>157</v>
      </c>
      <c r="D37" s="1">
        <v>283105290</v>
      </c>
      <c r="E37" s="1" t="s">
        <v>194</v>
      </c>
      <c r="F37" s="45" t="s">
        <v>98</v>
      </c>
      <c r="G37" s="1">
        <v>9</v>
      </c>
      <c r="M37" s="31"/>
      <c r="U37" s="31"/>
      <c r="AC37" s="31"/>
      <c r="AF37" s="1">
        <v>300</v>
      </c>
      <c r="AG37" s="35">
        <v>7</v>
      </c>
      <c r="AH37" s="35">
        <v>10</v>
      </c>
      <c r="AI37" s="120">
        <v>1020</v>
      </c>
      <c r="AJ37" s="35" t="s">
        <v>180</v>
      </c>
      <c r="AK37" s="1">
        <v>21</v>
      </c>
      <c r="AM37" s="1">
        <v>5</v>
      </c>
      <c r="AN37" s="1" t="s">
        <v>327</v>
      </c>
      <c r="AO37" s="60" t="s">
        <v>157</v>
      </c>
      <c r="AP37" s="35">
        <v>4</v>
      </c>
    </row>
    <row r="38" spans="1:72">
      <c r="A38" s="11">
        <v>8</v>
      </c>
      <c r="B38" s="11" t="s">
        <v>174</v>
      </c>
      <c r="C38" s="11" t="s">
        <v>179</v>
      </c>
      <c r="D38" s="11">
        <v>230196614</v>
      </c>
      <c r="E38" s="11" t="s">
        <v>280</v>
      </c>
      <c r="F38" s="59" t="s">
        <v>128</v>
      </c>
      <c r="G38" s="11">
        <v>6</v>
      </c>
      <c r="H38" s="11" t="s">
        <v>22</v>
      </c>
      <c r="I38" s="11" t="s">
        <v>185</v>
      </c>
      <c r="J38" s="11" t="s">
        <v>188</v>
      </c>
      <c r="K38" s="11" t="s">
        <v>177</v>
      </c>
      <c r="L38" s="12"/>
      <c r="M38" s="49"/>
      <c r="N38" s="12"/>
      <c r="O38" s="11">
        <v>0</v>
      </c>
      <c r="P38" s="11">
        <v>3</v>
      </c>
      <c r="Q38" s="11">
        <v>2</v>
      </c>
      <c r="R38" s="11">
        <v>0</v>
      </c>
      <c r="S38" s="11" t="s">
        <v>179</v>
      </c>
      <c r="T38" s="11">
        <v>2</v>
      </c>
      <c r="U38" s="49"/>
      <c r="V38" s="11" t="s">
        <v>178</v>
      </c>
      <c r="W38" s="11" t="s">
        <v>178</v>
      </c>
      <c r="X38" s="11" t="s">
        <v>186</v>
      </c>
      <c r="Y38" s="12"/>
      <c r="Z38" s="11" t="s">
        <v>157</v>
      </c>
      <c r="AA38" s="11" t="s">
        <v>157</v>
      </c>
      <c r="AB38" s="12"/>
      <c r="AC38" s="49"/>
      <c r="AD38" s="11">
        <v>100</v>
      </c>
      <c r="AE38" s="11">
        <v>50.7</v>
      </c>
      <c r="AF38" s="11">
        <v>300</v>
      </c>
      <c r="AG38" s="50">
        <v>7</v>
      </c>
      <c r="AH38" s="50">
        <v>10</v>
      </c>
      <c r="AI38" s="12">
        <v>1020</v>
      </c>
      <c r="AJ38" s="50" t="s">
        <v>180</v>
      </c>
      <c r="AK38" s="11">
        <v>9</v>
      </c>
      <c r="AL38" s="12"/>
      <c r="AM38" s="12"/>
      <c r="AN38" s="12"/>
      <c r="AO38" s="62" t="s">
        <v>184</v>
      </c>
      <c r="AP38" s="50">
        <v>4</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c r="F39" s="31"/>
      <c r="M39" s="31"/>
      <c r="U39" s="31"/>
      <c r="AC39" s="31"/>
      <c r="AO39" s="57"/>
    </row>
    <row r="40" spans="1:72">
      <c r="F40" s="31"/>
      <c r="M40" s="31"/>
      <c r="U40" s="31"/>
      <c r="AC40" s="31"/>
      <c r="AO40" s="57"/>
    </row>
    <row r="41" spans="1:72">
      <c r="F41" s="31"/>
      <c r="M41" s="31"/>
      <c r="U41" s="31"/>
      <c r="AC41" s="31"/>
      <c r="AO41" s="57"/>
    </row>
    <row r="42" spans="1:72">
      <c r="F42" s="31"/>
      <c r="M42" s="31"/>
      <c r="U42" s="31"/>
      <c r="AC42" s="31"/>
      <c r="AO42" s="57"/>
    </row>
    <row r="43" spans="1:72">
      <c r="F43" s="31"/>
      <c r="M43" s="31"/>
      <c r="U43" s="31"/>
      <c r="AC43" s="31"/>
      <c r="AO43" s="57"/>
    </row>
    <row r="44" spans="1:72">
      <c r="F44" s="31"/>
      <c r="M44" s="31"/>
      <c r="U44" s="31"/>
      <c r="AC44" s="31"/>
      <c r="AO44" s="57"/>
    </row>
    <row r="45" spans="1:72">
      <c r="F45" s="31"/>
      <c r="M45" s="31"/>
      <c r="U45" s="31"/>
      <c r="AC45" s="31"/>
      <c r="AO45" s="57"/>
    </row>
    <row r="46" spans="1:72">
      <c r="F46" s="31"/>
      <c r="M46" s="31"/>
      <c r="U46" s="31"/>
      <c r="AC46" s="31"/>
      <c r="AO46" s="57"/>
    </row>
    <row r="47" spans="1:72">
      <c r="F47" s="31"/>
      <c r="M47" s="31"/>
      <c r="U47" s="31"/>
      <c r="AC47" s="31"/>
      <c r="AO47" s="57"/>
    </row>
    <row r="48" spans="1:72">
      <c r="F48" s="31"/>
      <c r="M48" s="31"/>
      <c r="U48" s="31"/>
      <c r="AC48" s="31"/>
      <c r="AO48" s="57"/>
    </row>
    <row r="49" spans="6:41">
      <c r="F49" s="31"/>
      <c r="M49" s="31"/>
      <c r="U49" s="31"/>
      <c r="AC49" s="31"/>
      <c r="AO49" s="57"/>
    </row>
    <row r="50" spans="6:41">
      <c r="F50" s="31"/>
      <c r="M50" s="31"/>
      <c r="U50" s="31"/>
      <c r="AC50" s="31"/>
      <c r="AO50" s="57"/>
    </row>
    <row r="51" spans="6:41">
      <c r="F51" s="31"/>
      <c r="M51" s="31"/>
      <c r="U51" s="31"/>
      <c r="AC51" s="31"/>
      <c r="AO51" s="57"/>
    </row>
    <row r="52" spans="6:41">
      <c r="F52" s="31"/>
      <c r="M52" s="31"/>
      <c r="U52" s="31"/>
      <c r="AC52" s="31"/>
      <c r="AO52" s="57"/>
    </row>
    <row r="53" spans="6:41">
      <c r="F53" s="31"/>
      <c r="M53" s="31"/>
      <c r="U53" s="31"/>
      <c r="AC53" s="31"/>
      <c r="AO53" s="57"/>
    </row>
    <row r="54" spans="6:41">
      <c r="F54" s="31"/>
      <c r="M54" s="31"/>
      <c r="U54" s="31"/>
      <c r="AC54" s="31"/>
      <c r="AO54" s="57"/>
    </row>
    <row r="55" spans="6:41">
      <c r="F55" s="31"/>
      <c r="M55" s="31"/>
      <c r="U55" s="31"/>
      <c r="AC55" s="31"/>
      <c r="AO55" s="57"/>
    </row>
    <row r="56" spans="6:41">
      <c r="F56" s="31"/>
      <c r="M56" s="31"/>
      <c r="U56" s="31"/>
      <c r="AC56" s="31"/>
      <c r="AO56" s="57"/>
    </row>
    <row r="57" spans="6:41">
      <c r="F57" s="31"/>
      <c r="M57" s="31"/>
      <c r="U57" s="31"/>
      <c r="AC57" s="31"/>
      <c r="AO57" s="57"/>
    </row>
    <row r="58" spans="6:41">
      <c r="F58" s="31"/>
      <c r="M58" s="31"/>
      <c r="U58" s="31"/>
      <c r="AC58" s="31"/>
      <c r="AO58" s="57"/>
    </row>
    <row r="59" spans="6:41">
      <c r="F59" s="31"/>
      <c r="M59" s="31"/>
      <c r="U59" s="31"/>
      <c r="AC59" s="31"/>
      <c r="AO59" s="57"/>
    </row>
    <row r="60" spans="6:41">
      <c r="F60" s="31"/>
      <c r="M60" s="31"/>
      <c r="U60" s="31"/>
      <c r="AC60" s="31"/>
      <c r="AO60" s="57"/>
    </row>
    <row r="61" spans="6:41">
      <c r="F61" s="31"/>
      <c r="M61" s="31"/>
      <c r="U61" s="31"/>
      <c r="AC61" s="31"/>
      <c r="AO61" s="57"/>
    </row>
    <row r="62" spans="6:41">
      <c r="F62" s="31"/>
      <c r="M62" s="31"/>
      <c r="U62" s="31"/>
      <c r="AC62" s="31"/>
      <c r="AO62" s="57"/>
    </row>
    <row r="63" spans="6:41">
      <c r="F63" s="31"/>
      <c r="M63" s="31"/>
      <c r="U63" s="31"/>
      <c r="AC63" s="31"/>
      <c r="AO63" s="57"/>
    </row>
    <row r="64" spans="6:41">
      <c r="F64" s="31"/>
      <c r="M64" s="31"/>
      <c r="U64" s="31"/>
      <c r="AC64" s="31"/>
      <c r="AO64" s="57"/>
    </row>
    <row r="65" spans="6:41">
      <c r="F65" s="31"/>
      <c r="M65" s="31"/>
      <c r="U65" s="31"/>
      <c r="AC65" s="31"/>
      <c r="AO65" s="57"/>
    </row>
    <row r="66" spans="6:41">
      <c r="F66" s="31"/>
      <c r="M66" s="31"/>
      <c r="U66" s="31"/>
      <c r="AC66" s="31"/>
      <c r="AO66" s="57"/>
    </row>
    <row r="67" spans="6:41">
      <c r="F67" s="31"/>
      <c r="M67" s="31"/>
      <c r="U67" s="31"/>
      <c r="AC67" s="31"/>
      <c r="AO67" s="57"/>
    </row>
    <row r="68" spans="6:41">
      <c r="F68" s="31"/>
      <c r="M68" s="31"/>
      <c r="U68" s="31"/>
      <c r="AC68" s="31"/>
      <c r="AO68" s="57"/>
    </row>
    <row r="69" spans="6:41">
      <c r="F69" s="31"/>
      <c r="M69" s="31"/>
      <c r="U69" s="31"/>
      <c r="AC69" s="31"/>
      <c r="AO69" s="57"/>
    </row>
    <row r="70" spans="6:41">
      <c r="F70" s="31"/>
      <c r="M70" s="31"/>
      <c r="U70" s="31"/>
      <c r="AC70" s="31"/>
      <c r="AO70" s="57"/>
    </row>
    <row r="71" spans="6:41">
      <c r="F71" s="31"/>
      <c r="M71" s="31"/>
      <c r="U71" s="31"/>
      <c r="AC71" s="31"/>
      <c r="AO71" s="57"/>
    </row>
    <row r="72" spans="6:41">
      <c r="F72" s="31"/>
      <c r="M72" s="31"/>
      <c r="U72" s="31"/>
      <c r="AC72" s="31"/>
      <c r="AO72" s="57"/>
    </row>
    <row r="73" spans="6:41">
      <c r="F73" s="31"/>
      <c r="M73" s="31"/>
      <c r="U73" s="31"/>
      <c r="AC73" s="31"/>
      <c r="AO73" s="57"/>
    </row>
    <row r="74" spans="6:41">
      <c r="F74" s="31"/>
      <c r="M74" s="31"/>
      <c r="U74" s="31"/>
      <c r="AC74" s="31"/>
      <c r="AO74" s="57"/>
    </row>
    <row r="75" spans="6:41">
      <c r="F75" s="31"/>
      <c r="M75" s="31"/>
      <c r="U75" s="31"/>
      <c r="AC75" s="31"/>
      <c r="AO75" s="57"/>
    </row>
    <row r="76" spans="6:41">
      <c r="F76" s="31"/>
      <c r="M76" s="31"/>
      <c r="U76" s="31"/>
      <c r="AC76" s="31"/>
      <c r="AO76" s="57"/>
    </row>
    <row r="77" spans="6:41">
      <c r="F77" s="31"/>
      <c r="M77" s="31"/>
      <c r="U77" s="31"/>
      <c r="AC77" s="31"/>
      <c r="AO77" s="57"/>
    </row>
    <row r="78" spans="6:41">
      <c r="F78" s="31"/>
      <c r="M78" s="31"/>
      <c r="U78" s="31"/>
      <c r="AC78" s="31"/>
      <c r="AO78" s="57"/>
    </row>
    <row r="79" spans="6:41">
      <c r="F79" s="31"/>
      <c r="M79" s="31"/>
      <c r="U79" s="31"/>
      <c r="AC79" s="31"/>
      <c r="AO79" s="57"/>
    </row>
    <row r="80" spans="6:41">
      <c r="F80" s="31"/>
      <c r="M80" s="31"/>
      <c r="U80" s="31"/>
      <c r="AC80" s="31"/>
      <c r="AO80" s="57"/>
    </row>
    <row r="81" spans="6:41">
      <c r="F81" s="31"/>
      <c r="M81" s="31"/>
      <c r="U81" s="31"/>
      <c r="AC81" s="31"/>
      <c r="AO81" s="57"/>
    </row>
    <row r="82" spans="6:41">
      <c r="F82" s="31"/>
      <c r="M82" s="31"/>
      <c r="U82" s="31"/>
      <c r="AC82" s="31"/>
      <c r="AO82" s="57"/>
    </row>
    <row r="83" spans="6:41">
      <c r="F83" s="31"/>
      <c r="M83" s="31"/>
      <c r="U83" s="31"/>
      <c r="AC83" s="31"/>
      <c r="AO83" s="57"/>
    </row>
    <row r="84" spans="6:41">
      <c r="F84" s="31"/>
      <c r="M84" s="31"/>
      <c r="U84" s="31"/>
      <c r="AC84" s="31"/>
      <c r="AO84" s="57"/>
    </row>
    <row r="85" spans="6:41">
      <c r="F85" s="31"/>
      <c r="M85" s="31"/>
      <c r="U85" s="31"/>
      <c r="AC85" s="31"/>
      <c r="AO85" s="57"/>
    </row>
    <row r="86" spans="6:41">
      <c r="F86" s="31"/>
      <c r="M86" s="31"/>
      <c r="U86" s="31"/>
      <c r="AC86" s="31"/>
      <c r="AO86" s="57"/>
    </row>
    <row r="87" spans="6:41">
      <c r="F87" s="31"/>
      <c r="M87" s="31"/>
      <c r="U87" s="31"/>
      <c r="AC87" s="31"/>
      <c r="AO87" s="57"/>
    </row>
    <row r="88" spans="6:41">
      <c r="F88" s="31"/>
      <c r="M88" s="31"/>
      <c r="U88" s="31"/>
      <c r="AC88" s="31"/>
      <c r="AO88" s="57"/>
    </row>
    <row r="89" spans="6:41">
      <c r="F89" s="31"/>
      <c r="M89" s="31"/>
      <c r="U89" s="31"/>
      <c r="AC89" s="31"/>
      <c r="AO89" s="57"/>
    </row>
    <row r="90" spans="6:41">
      <c r="F90" s="31"/>
      <c r="M90" s="31"/>
      <c r="U90" s="31"/>
      <c r="AC90" s="31"/>
      <c r="AO90" s="57"/>
    </row>
    <row r="91" spans="6:41">
      <c r="F91" s="31"/>
      <c r="M91" s="31"/>
      <c r="U91" s="31"/>
      <c r="AC91" s="31"/>
      <c r="AO91" s="57"/>
    </row>
    <row r="92" spans="6:41">
      <c r="F92" s="31"/>
      <c r="M92" s="31"/>
      <c r="U92" s="31"/>
      <c r="AC92" s="31"/>
      <c r="AO92" s="57"/>
    </row>
    <row r="93" spans="6:41">
      <c r="F93" s="31"/>
      <c r="M93" s="31"/>
      <c r="U93" s="31"/>
      <c r="AC93" s="31"/>
      <c r="AO93" s="57"/>
    </row>
    <row r="94" spans="6:41">
      <c r="F94" s="31"/>
      <c r="M94" s="31"/>
      <c r="U94" s="31"/>
      <c r="AC94" s="31"/>
      <c r="AO94" s="57"/>
    </row>
    <row r="95" spans="6:41">
      <c r="F95" s="31"/>
      <c r="M95" s="31"/>
      <c r="U95" s="31"/>
      <c r="AC95" s="31"/>
      <c r="AO95" s="57"/>
    </row>
    <row r="96" spans="6:41">
      <c r="F96" s="31"/>
      <c r="M96" s="31"/>
      <c r="U96" s="31"/>
      <c r="AC96" s="31"/>
      <c r="AO96" s="57"/>
    </row>
    <row r="97" spans="6:41">
      <c r="F97" s="31"/>
      <c r="M97" s="31"/>
      <c r="U97" s="31"/>
      <c r="AC97" s="31"/>
      <c r="AO97" s="57"/>
    </row>
    <row r="98" spans="6:41">
      <c r="F98" s="31"/>
      <c r="M98" s="31"/>
      <c r="U98" s="31"/>
      <c r="AC98" s="31"/>
      <c r="AO98" s="57"/>
    </row>
    <row r="99" spans="6:41">
      <c r="F99" s="31"/>
      <c r="M99" s="31"/>
      <c r="U99" s="31"/>
      <c r="AC99" s="31"/>
      <c r="AO99" s="57"/>
    </row>
    <row r="100" spans="6:41">
      <c r="F100" s="31"/>
      <c r="M100" s="31"/>
      <c r="U100" s="31"/>
      <c r="AC100" s="31"/>
      <c r="AO100" s="57"/>
    </row>
    <row r="101" spans="6:41">
      <c r="F101" s="31"/>
      <c r="M101" s="31"/>
      <c r="U101" s="31"/>
      <c r="AC101" s="31"/>
      <c r="AO101" s="57"/>
    </row>
    <row r="102" spans="6:41">
      <c r="F102" s="31"/>
      <c r="M102" s="31"/>
      <c r="U102" s="31"/>
      <c r="AC102" s="31"/>
      <c r="AO102" s="57"/>
    </row>
    <row r="103" spans="6:41">
      <c r="F103" s="31"/>
      <c r="M103" s="31"/>
      <c r="U103" s="31"/>
      <c r="AC103" s="31"/>
      <c r="AO103" s="57"/>
    </row>
    <row r="104" spans="6:41">
      <c r="F104" s="31"/>
      <c r="M104" s="31"/>
      <c r="U104" s="31"/>
      <c r="AC104" s="31"/>
      <c r="AO104" s="57"/>
    </row>
    <row r="105" spans="6:41">
      <c r="F105" s="31"/>
      <c r="M105" s="31"/>
      <c r="U105" s="31"/>
      <c r="AC105" s="31"/>
      <c r="AO105" s="57"/>
    </row>
    <row r="106" spans="6:41">
      <c r="F106" s="31"/>
      <c r="M106" s="31"/>
      <c r="U106" s="31"/>
      <c r="AC106" s="31"/>
      <c r="AO106" s="57"/>
    </row>
    <row r="107" spans="6:41">
      <c r="F107" s="31"/>
      <c r="M107" s="31"/>
      <c r="U107" s="31"/>
      <c r="AC107" s="31"/>
      <c r="AO107" s="57"/>
    </row>
    <row r="108" spans="6:41">
      <c r="F108" s="31"/>
      <c r="M108" s="31"/>
      <c r="U108" s="31"/>
      <c r="AC108" s="31"/>
      <c r="AO108" s="57"/>
    </row>
    <row r="109" spans="6:41">
      <c r="F109" s="31"/>
      <c r="M109" s="31"/>
      <c r="U109" s="31"/>
      <c r="AC109" s="31"/>
      <c r="AO109" s="57"/>
    </row>
    <row r="110" spans="6:41">
      <c r="F110" s="31"/>
      <c r="M110" s="31"/>
      <c r="U110" s="31"/>
      <c r="AC110" s="31"/>
      <c r="AO110" s="57"/>
    </row>
    <row r="111" spans="6:41">
      <c r="F111" s="31"/>
      <c r="M111" s="31"/>
      <c r="U111" s="31"/>
      <c r="AC111" s="31"/>
      <c r="AO111" s="57"/>
    </row>
    <row r="112" spans="6:41">
      <c r="F112" s="31"/>
      <c r="M112" s="31"/>
      <c r="U112" s="31"/>
      <c r="AC112" s="31"/>
      <c r="AO112" s="57"/>
    </row>
    <row r="113" spans="6:41">
      <c r="F113" s="31"/>
      <c r="M113" s="31"/>
      <c r="U113" s="31"/>
      <c r="AC113" s="31"/>
      <c r="AO113" s="57"/>
    </row>
    <row r="114" spans="6:41">
      <c r="F114" s="31"/>
      <c r="M114" s="31"/>
      <c r="U114" s="31"/>
      <c r="AC114" s="31"/>
      <c r="AO114" s="57"/>
    </row>
    <row r="115" spans="6:41">
      <c r="F115" s="31"/>
      <c r="M115" s="31"/>
      <c r="U115" s="31"/>
      <c r="AC115" s="31"/>
      <c r="AO115" s="57"/>
    </row>
    <row r="116" spans="6:41">
      <c r="F116" s="31"/>
      <c r="M116" s="31"/>
      <c r="U116" s="31"/>
      <c r="AC116" s="31"/>
      <c r="AO116" s="57"/>
    </row>
    <row r="117" spans="6:41">
      <c r="F117" s="31"/>
      <c r="M117" s="31"/>
      <c r="U117" s="31"/>
      <c r="AC117" s="31"/>
      <c r="AO117" s="57"/>
    </row>
    <row r="118" spans="6:41">
      <c r="F118" s="31"/>
      <c r="M118" s="31"/>
      <c r="U118" s="31"/>
      <c r="AC118" s="31"/>
      <c r="AO118" s="57"/>
    </row>
    <row r="119" spans="6:41">
      <c r="F119" s="31"/>
      <c r="M119" s="31"/>
      <c r="U119" s="31"/>
      <c r="AC119" s="31"/>
      <c r="AO119" s="57"/>
    </row>
    <row r="120" spans="6:41">
      <c r="F120" s="31"/>
      <c r="M120" s="31"/>
      <c r="U120" s="31"/>
      <c r="AC120" s="31"/>
      <c r="AO120" s="57"/>
    </row>
    <row r="121" spans="6:41">
      <c r="F121" s="31"/>
      <c r="M121" s="31"/>
      <c r="U121" s="31"/>
      <c r="AC121" s="31"/>
      <c r="AO121" s="57"/>
    </row>
    <row r="122" spans="6:41">
      <c r="F122" s="31"/>
      <c r="M122" s="31"/>
      <c r="U122" s="31"/>
      <c r="AC122" s="31"/>
      <c r="AO122" s="57"/>
    </row>
    <row r="123" spans="6:41">
      <c r="F123" s="31"/>
      <c r="M123" s="31"/>
      <c r="U123" s="31"/>
      <c r="AC123" s="31"/>
      <c r="AO123" s="57"/>
    </row>
    <row r="124" spans="6:41">
      <c r="F124" s="31"/>
      <c r="M124" s="31"/>
      <c r="U124" s="31"/>
      <c r="AC124" s="31"/>
      <c r="AO124" s="57"/>
    </row>
    <row r="125" spans="6:41">
      <c r="F125" s="31"/>
      <c r="M125" s="31"/>
      <c r="U125" s="31"/>
      <c r="AC125" s="31"/>
      <c r="AO125" s="57"/>
    </row>
    <row r="126" spans="6:41">
      <c r="F126" s="31"/>
      <c r="M126" s="31"/>
      <c r="U126" s="31"/>
      <c r="AC126" s="31"/>
      <c r="AO126" s="57"/>
    </row>
    <row r="127" spans="6:41">
      <c r="F127" s="31"/>
      <c r="M127" s="31"/>
      <c r="U127" s="31"/>
      <c r="AC127" s="31"/>
      <c r="AO127" s="57"/>
    </row>
    <row r="128" spans="6:41">
      <c r="F128" s="31"/>
      <c r="M128" s="31"/>
      <c r="U128" s="31"/>
      <c r="AC128" s="31"/>
      <c r="AO128" s="57"/>
    </row>
    <row r="129" spans="6:41">
      <c r="F129" s="31"/>
      <c r="M129" s="31"/>
      <c r="U129" s="31"/>
      <c r="AC129" s="31"/>
      <c r="AO129" s="57"/>
    </row>
    <row r="130" spans="6:41">
      <c r="F130" s="31"/>
      <c r="M130" s="31"/>
      <c r="U130" s="31"/>
      <c r="AC130" s="31"/>
      <c r="AO130" s="57"/>
    </row>
    <row r="131" spans="6:41">
      <c r="F131" s="31"/>
      <c r="M131" s="31"/>
      <c r="U131" s="31"/>
      <c r="AC131" s="31"/>
      <c r="AO131" s="57"/>
    </row>
    <row r="132" spans="6:41">
      <c r="F132" s="31"/>
      <c r="M132" s="31"/>
      <c r="U132" s="31"/>
      <c r="AC132" s="31"/>
      <c r="AO132" s="57"/>
    </row>
    <row r="133" spans="6:41">
      <c r="F133" s="31"/>
      <c r="M133" s="31"/>
      <c r="U133" s="31"/>
      <c r="AC133" s="31"/>
      <c r="AO133" s="57"/>
    </row>
    <row r="134" spans="6:41">
      <c r="F134" s="31"/>
      <c r="M134" s="31"/>
      <c r="U134" s="31"/>
      <c r="AC134" s="31"/>
      <c r="AO134" s="57"/>
    </row>
    <row r="135" spans="6:41">
      <c r="F135" s="31"/>
      <c r="M135" s="31"/>
      <c r="U135" s="31"/>
      <c r="AC135" s="31"/>
      <c r="AO135" s="57"/>
    </row>
    <row r="136" spans="6:41">
      <c r="F136" s="31"/>
      <c r="M136" s="31"/>
      <c r="U136" s="31"/>
      <c r="AC136" s="31"/>
      <c r="AO136" s="57"/>
    </row>
    <row r="137" spans="6:41">
      <c r="F137" s="31"/>
      <c r="M137" s="31"/>
      <c r="U137" s="31"/>
      <c r="AC137" s="31"/>
      <c r="AO137" s="57"/>
    </row>
    <row r="138" spans="6:41">
      <c r="F138" s="31"/>
      <c r="M138" s="31"/>
      <c r="U138" s="31"/>
      <c r="AC138" s="31"/>
      <c r="AO138" s="57"/>
    </row>
    <row r="139" spans="6:41">
      <c r="F139" s="31"/>
      <c r="M139" s="31"/>
      <c r="U139" s="31"/>
      <c r="AC139" s="31"/>
      <c r="AO139" s="57"/>
    </row>
    <row r="140" spans="6:41">
      <c r="F140" s="31"/>
      <c r="M140" s="31"/>
      <c r="U140" s="31"/>
      <c r="AC140" s="31"/>
      <c r="AO140" s="57"/>
    </row>
    <row r="141" spans="6:41">
      <c r="F141" s="31"/>
      <c r="M141" s="31"/>
      <c r="U141" s="31"/>
      <c r="AC141" s="31"/>
      <c r="AO141" s="57"/>
    </row>
    <row r="142" spans="6:41">
      <c r="F142" s="31"/>
      <c r="M142" s="31"/>
      <c r="U142" s="31"/>
      <c r="AC142" s="31"/>
      <c r="AO142" s="57"/>
    </row>
    <row r="143" spans="6:41">
      <c r="F143" s="31"/>
      <c r="M143" s="31"/>
      <c r="U143" s="31"/>
      <c r="AC143" s="31"/>
      <c r="AO143" s="57"/>
    </row>
    <row r="144" spans="6:41">
      <c r="F144" s="31"/>
      <c r="M144" s="31"/>
      <c r="U144" s="31"/>
      <c r="AC144" s="31"/>
      <c r="AO144" s="57"/>
    </row>
    <row r="145" spans="6:41">
      <c r="F145" s="31"/>
      <c r="M145" s="31"/>
      <c r="U145" s="31"/>
      <c r="AC145" s="31"/>
      <c r="AO145" s="57"/>
    </row>
    <row r="146" spans="6:41">
      <c r="F146" s="31"/>
      <c r="M146" s="31"/>
      <c r="U146" s="31"/>
      <c r="AC146" s="31"/>
      <c r="AO146" s="57"/>
    </row>
    <row r="147" spans="6:41">
      <c r="F147" s="31"/>
      <c r="M147" s="31"/>
      <c r="U147" s="31"/>
      <c r="AC147" s="31"/>
      <c r="AO147" s="57"/>
    </row>
    <row r="148" spans="6:41">
      <c r="F148" s="31"/>
      <c r="M148" s="31"/>
      <c r="U148" s="31"/>
      <c r="AC148" s="31"/>
      <c r="AO148" s="57"/>
    </row>
    <row r="149" spans="6:41">
      <c r="F149" s="31"/>
      <c r="M149" s="31"/>
      <c r="U149" s="31"/>
      <c r="AC149" s="31"/>
      <c r="AO149" s="57"/>
    </row>
    <row r="150" spans="6:41">
      <c r="F150" s="31"/>
      <c r="M150" s="31"/>
      <c r="U150" s="31"/>
      <c r="AC150" s="31"/>
      <c r="AO150" s="57"/>
    </row>
    <row r="151" spans="6:41">
      <c r="F151" s="31"/>
      <c r="M151" s="31"/>
      <c r="U151" s="31"/>
      <c r="AC151" s="31"/>
      <c r="AO151" s="57"/>
    </row>
    <row r="152" spans="6:41">
      <c r="F152" s="31"/>
      <c r="M152" s="31"/>
      <c r="U152" s="31"/>
      <c r="AC152" s="31"/>
      <c r="AO152" s="57"/>
    </row>
    <row r="153" spans="6:41">
      <c r="F153" s="31"/>
      <c r="M153" s="31"/>
      <c r="U153" s="31"/>
      <c r="AC153" s="31"/>
      <c r="AO153" s="57"/>
    </row>
    <row r="154" spans="6:41">
      <c r="F154" s="31"/>
      <c r="M154" s="31"/>
      <c r="U154" s="31"/>
      <c r="AC154" s="31"/>
      <c r="AO154" s="57"/>
    </row>
    <row r="155" spans="6:41">
      <c r="F155" s="31"/>
      <c r="M155" s="31"/>
      <c r="U155" s="31"/>
      <c r="AC155" s="31"/>
      <c r="AO155" s="57"/>
    </row>
    <row r="156" spans="6:41">
      <c r="F156" s="31"/>
      <c r="M156" s="31"/>
      <c r="U156" s="31"/>
      <c r="AC156" s="31"/>
      <c r="AO156" s="57"/>
    </row>
    <row r="157" spans="6:41">
      <c r="F157" s="31"/>
      <c r="M157" s="31"/>
      <c r="U157" s="31"/>
      <c r="AC157" s="31"/>
      <c r="AO157" s="57"/>
    </row>
    <row r="158" spans="6:41">
      <c r="F158" s="31"/>
      <c r="M158" s="31"/>
      <c r="U158" s="31"/>
      <c r="AC158" s="31"/>
      <c r="AO158" s="57"/>
    </row>
    <row r="159" spans="6:41">
      <c r="F159" s="31"/>
      <c r="M159" s="31"/>
      <c r="U159" s="31"/>
      <c r="AC159" s="31"/>
      <c r="AO159" s="57"/>
    </row>
    <row r="160" spans="6:41">
      <c r="F160" s="31"/>
      <c r="M160" s="31"/>
      <c r="U160" s="31"/>
      <c r="AC160" s="31"/>
      <c r="AO160" s="57"/>
    </row>
    <row r="161" spans="6:41">
      <c r="F161" s="31"/>
      <c r="M161" s="31"/>
      <c r="U161" s="31"/>
      <c r="AC161" s="31"/>
      <c r="AO161" s="57"/>
    </row>
    <row r="162" spans="6:41">
      <c r="F162" s="31"/>
      <c r="M162" s="31"/>
      <c r="U162" s="31"/>
      <c r="AC162" s="31"/>
      <c r="AO162" s="57"/>
    </row>
    <row r="163" spans="6:41">
      <c r="F163" s="31"/>
      <c r="M163" s="31"/>
      <c r="U163" s="31"/>
      <c r="AC163" s="31"/>
      <c r="AO163" s="57"/>
    </row>
    <row r="164" spans="6:41">
      <c r="F164" s="31"/>
      <c r="M164" s="31"/>
      <c r="U164" s="31"/>
      <c r="AC164" s="31"/>
      <c r="AO164" s="57"/>
    </row>
    <row r="165" spans="6:41">
      <c r="F165" s="31"/>
      <c r="M165" s="31"/>
      <c r="U165" s="31"/>
      <c r="AC165" s="31"/>
      <c r="AO165" s="57"/>
    </row>
    <row r="166" spans="6:41">
      <c r="F166" s="31"/>
      <c r="M166" s="31"/>
      <c r="U166" s="31"/>
      <c r="AC166" s="31"/>
      <c r="AO166" s="57"/>
    </row>
    <row r="167" spans="6:41">
      <c r="F167" s="31"/>
      <c r="M167" s="31"/>
      <c r="U167" s="31"/>
      <c r="AC167" s="31"/>
      <c r="AO167" s="57"/>
    </row>
    <row r="168" spans="6:41">
      <c r="F168" s="31"/>
      <c r="M168" s="31"/>
      <c r="U168" s="31"/>
      <c r="AC168" s="31"/>
      <c r="AO168" s="57"/>
    </row>
    <row r="169" spans="6:41">
      <c r="F169" s="31"/>
      <c r="M169" s="31"/>
      <c r="U169" s="31"/>
      <c r="AC169" s="31"/>
      <c r="AO169" s="57"/>
    </row>
    <row r="170" spans="6:41">
      <c r="F170" s="31"/>
      <c r="M170" s="31"/>
      <c r="U170" s="31"/>
      <c r="AC170" s="31"/>
      <c r="AO170" s="57"/>
    </row>
    <row r="171" spans="6:41">
      <c r="F171" s="31"/>
      <c r="M171" s="31"/>
      <c r="U171" s="31"/>
      <c r="AC171" s="31"/>
      <c r="AO171" s="57"/>
    </row>
    <row r="172" spans="6:41">
      <c r="F172" s="31"/>
      <c r="M172" s="31"/>
      <c r="U172" s="31"/>
      <c r="AC172" s="31"/>
      <c r="AO172" s="57"/>
    </row>
    <row r="173" spans="6:41">
      <c r="F173" s="31"/>
      <c r="M173" s="31"/>
      <c r="U173" s="31"/>
      <c r="AC173" s="31"/>
      <c r="AO173" s="57"/>
    </row>
    <row r="174" spans="6:41">
      <c r="F174" s="31"/>
      <c r="M174" s="31"/>
      <c r="U174" s="31"/>
      <c r="AC174" s="31"/>
      <c r="AO174" s="57"/>
    </row>
    <row r="175" spans="6:41">
      <c r="F175" s="31"/>
      <c r="M175" s="31"/>
      <c r="U175" s="31"/>
      <c r="AC175" s="31"/>
      <c r="AO175" s="57"/>
    </row>
    <row r="176" spans="6:41">
      <c r="F176" s="31"/>
      <c r="M176" s="31"/>
      <c r="U176" s="31"/>
      <c r="AC176" s="31"/>
      <c r="AO176" s="57"/>
    </row>
    <row r="177" spans="6:41">
      <c r="F177" s="31"/>
      <c r="M177" s="31"/>
      <c r="U177" s="31"/>
      <c r="AC177" s="31"/>
      <c r="AO177" s="57"/>
    </row>
    <row r="178" spans="6:41">
      <c r="F178" s="31"/>
      <c r="M178" s="31"/>
      <c r="U178" s="31"/>
      <c r="AC178" s="31"/>
      <c r="AO178" s="57"/>
    </row>
    <row r="179" spans="6:41">
      <c r="F179" s="31"/>
      <c r="M179" s="31"/>
      <c r="U179" s="31"/>
      <c r="AC179" s="31"/>
      <c r="AO179" s="57"/>
    </row>
    <row r="180" spans="6:41">
      <c r="F180" s="31"/>
      <c r="M180" s="31"/>
      <c r="U180" s="31"/>
      <c r="AC180" s="31"/>
      <c r="AO180" s="57"/>
    </row>
    <row r="181" spans="6:41">
      <c r="F181" s="31"/>
      <c r="M181" s="31"/>
      <c r="U181" s="31"/>
      <c r="AC181" s="31"/>
      <c r="AO181" s="57"/>
    </row>
    <row r="182" spans="6:41">
      <c r="F182" s="31"/>
      <c r="M182" s="31"/>
      <c r="U182" s="31"/>
      <c r="AC182" s="31"/>
      <c r="AO182" s="57"/>
    </row>
    <row r="183" spans="6:41">
      <c r="F183" s="31"/>
      <c r="M183" s="31"/>
      <c r="U183" s="31"/>
      <c r="AC183" s="31"/>
      <c r="AO183" s="57"/>
    </row>
    <row r="184" spans="6:41">
      <c r="F184" s="31"/>
      <c r="M184" s="31"/>
      <c r="U184" s="31"/>
      <c r="AC184" s="31"/>
      <c r="AO184" s="57"/>
    </row>
    <row r="185" spans="6:41">
      <c r="F185" s="31"/>
      <c r="M185" s="31"/>
      <c r="U185" s="31"/>
      <c r="AC185" s="31"/>
      <c r="AO185" s="57"/>
    </row>
    <row r="186" spans="6:41">
      <c r="F186" s="31"/>
      <c r="M186" s="31"/>
      <c r="U186" s="31"/>
      <c r="AC186" s="31"/>
      <c r="AO186" s="57"/>
    </row>
    <row r="187" spans="6:41">
      <c r="F187" s="31"/>
      <c r="M187" s="31"/>
      <c r="U187" s="31"/>
      <c r="AC187" s="31"/>
      <c r="AO187" s="57"/>
    </row>
    <row r="188" spans="6:41">
      <c r="F188" s="31"/>
      <c r="M188" s="31"/>
      <c r="U188" s="31"/>
      <c r="AC188" s="31"/>
      <c r="AO188" s="57"/>
    </row>
    <row r="189" spans="6:41">
      <c r="F189" s="31"/>
      <c r="M189" s="31"/>
      <c r="U189" s="31"/>
      <c r="AC189" s="31"/>
      <c r="AO189" s="57"/>
    </row>
    <row r="190" spans="6:41">
      <c r="F190" s="31"/>
      <c r="M190" s="31"/>
      <c r="U190" s="31"/>
      <c r="AC190" s="31"/>
      <c r="AO190" s="57"/>
    </row>
    <row r="191" spans="6:41">
      <c r="F191" s="31"/>
      <c r="M191" s="31"/>
      <c r="U191" s="31"/>
      <c r="AC191" s="31"/>
      <c r="AO191" s="57"/>
    </row>
    <row r="192" spans="6:41">
      <c r="F192" s="31"/>
      <c r="M192" s="31"/>
      <c r="U192" s="31"/>
      <c r="AC192" s="31"/>
      <c r="AO192" s="57"/>
    </row>
    <row r="193" spans="6:41">
      <c r="F193" s="31"/>
      <c r="M193" s="31"/>
      <c r="U193" s="31"/>
      <c r="AC193" s="31"/>
      <c r="AO193" s="57"/>
    </row>
    <row r="194" spans="6:41">
      <c r="F194" s="31"/>
      <c r="M194" s="31"/>
      <c r="U194" s="31"/>
      <c r="AC194" s="31"/>
      <c r="AO194" s="57"/>
    </row>
    <row r="195" spans="6:41">
      <c r="F195" s="31"/>
      <c r="M195" s="31"/>
      <c r="U195" s="31"/>
      <c r="AC195" s="31"/>
      <c r="AO195" s="57"/>
    </row>
    <row r="196" spans="6:41">
      <c r="F196" s="31"/>
      <c r="M196" s="31"/>
      <c r="U196" s="31"/>
      <c r="AC196" s="31"/>
      <c r="AO196" s="57"/>
    </row>
    <row r="197" spans="6:41">
      <c r="F197" s="31"/>
      <c r="M197" s="31"/>
      <c r="U197" s="31"/>
      <c r="AC197" s="31"/>
      <c r="AO197" s="57"/>
    </row>
    <row r="198" spans="6:41">
      <c r="F198" s="31"/>
      <c r="M198" s="31"/>
      <c r="U198" s="31"/>
      <c r="AC198" s="31"/>
      <c r="AO198" s="57"/>
    </row>
    <row r="199" spans="6:41">
      <c r="F199" s="31"/>
      <c r="M199" s="31"/>
      <c r="U199" s="31"/>
      <c r="AC199" s="31"/>
      <c r="AO199" s="57"/>
    </row>
    <row r="200" spans="6:41">
      <c r="F200" s="31"/>
      <c r="M200" s="31"/>
      <c r="U200" s="31"/>
      <c r="AC200" s="31"/>
      <c r="AO200" s="57"/>
    </row>
    <row r="201" spans="6:41">
      <c r="F201" s="31"/>
      <c r="M201" s="31"/>
      <c r="U201" s="31"/>
      <c r="AC201" s="31"/>
      <c r="AO201" s="57"/>
    </row>
    <row r="202" spans="6:41">
      <c r="F202" s="31"/>
      <c r="M202" s="31"/>
      <c r="U202" s="31"/>
      <c r="AC202" s="31"/>
      <c r="AO202" s="57"/>
    </row>
    <row r="203" spans="6:41">
      <c r="F203" s="31"/>
      <c r="M203" s="31"/>
      <c r="U203" s="31"/>
      <c r="AC203" s="31"/>
      <c r="AO203" s="57"/>
    </row>
    <row r="204" spans="6:41">
      <c r="F204" s="31"/>
      <c r="M204" s="31"/>
      <c r="U204" s="31"/>
      <c r="AC204" s="31"/>
      <c r="AO204" s="57"/>
    </row>
    <row r="205" spans="6:41">
      <c r="F205" s="31"/>
      <c r="M205" s="31"/>
      <c r="U205" s="31"/>
      <c r="AC205" s="31"/>
      <c r="AO205" s="57"/>
    </row>
    <row r="206" spans="6:41">
      <c r="F206" s="31"/>
      <c r="M206" s="31"/>
      <c r="U206" s="31"/>
      <c r="AC206" s="31"/>
      <c r="AO206" s="57"/>
    </row>
    <row r="207" spans="6:41">
      <c r="F207" s="31"/>
      <c r="M207" s="31"/>
      <c r="U207" s="31"/>
      <c r="AC207" s="31"/>
      <c r="AO207" s="57"/>
    </row>
    <row r="208" spans="6:41">
      <c r="F208" s="31"/>
      <c r="M208" s="31"/>
      <c r="U208" s="31"/>
      <c r="AC208" s="31"/>
      <c r="AO208" s="57"/>
    </row>
    <row r="209" spans="6:41">
      <c r="F209" s="31"/>
      <c r="M209" s="31"/>
      <c r="U209" s="31"/>
      <c r="AC209" s="31"/>
      <c r="AO209" s="57"/>
    </row>
    <row r="210" spans="6:41">
      <c r="F210" s="31"/>
      <c r="M210" s="31"/>
      <c r="U210" s="31"/>
      <c r="AC210" s="31"/>
      <c r="AO210" s="57"/>
    </row>
    <row r="211" spans="6:41">
      <c r="F211" s="31"/>
      <c r="M211" s="31"/>
      <c r="U211" s="31"/>
      <c r="AC211" s="31"/>
      <c r="AO211" s="57"/>
    </row>
    <row r="212" spans="6:41">
      <c r="F212" s="31"/>
      <c r="M212" s="31"/>
      <c r="U212" s="31"/>
      <c r="AC212" s="31"/>
      <c r="AO212" s="57"/>
    </row>
    <row r="213" spans="6:41">
      <c r="F213" s="31"/>
      <c r="M213" s="31"/>
      <c r="U213" s="31"/>
      <c r="AC213" s="31"/>
      <c r="AO213" s="57"/>
    </row>
    <row r="214" spans="6:41">
      <c r="F214" s="31"/>
      <c r="M214" s="31"/>
      <c r="U214" s="31"/>
      <c r="AC214" s="31"/>
      <c r="AO214" s="57"/>
    </row>
    <row r="215" spans="6:41">
      <c r="F215" s="31"/>
      <c r="M215" s="31"/>
      <c r="U215" s="31"/>
      <c r="AC215" s="31"/>
      <c r="AO215" s="57"/>
    </row>
    <row r="216" spans="6:41">
      <c r="F216" s="31"/>
      <c r="M216" s="31"/>
      <c r="U216" s="31"/>
      <c r="AC216" s="31"/>
      <c r="AO216" s="57"/>
    </row>
    <row r="217" spans="6:41">
      <c r="F217" s="31"/>
      <c r="M217" s="31"/>
      <c r="U217" s="31"/>
      <c r="AC217" s="31"/>
      <c r="AO217" s="57"/>
    </row>
    <row r="218" spans="6:41">
      <c r="F218" s="31"/>
      <c r="M218" s="31"/>
      <c r="U218" s="31"/>
      <c r="AC218" s="31"/>
      <c r="AO218" s="57"/>
    </row>
    <row r="219" spans="6:41">
      <c r="F219" s="31"/>
      <c r="M219" s="31"/>
      <c r="U219" s="31"/>
      <c r="AC219" s="31"/>
      <c r="AO219" s="57"/>
    </row>
    <row r="220" spans="6:41">
      <c r="F220" s="31"/>
      <c r="M220" s="31"/>
      <c r="U220" s="31"/>
      <c r="AC220" s="31"/>
      <c r="AO220" s="57"/>
    </row>
    <row r="221" spans="6:41">
      <c r="F221" s="31"/>
      <c r="M221" s="31"/>
      <c r="U221" s="31"/>
      <c r="AC221" s="31"/>
      <c r="AO221" s="57"/>
    </row>
    <row r="222" spans="6:41">
      <c r="F222" s="31"/>
      <c r="M222" s="31"/>
      <c r="U222" s="31"/>
      <c r="AC222" s="31"/>
      <c r="AO222" s="57"/>
    </row>
    <row r="223" spans="6:41">
      <c r="F223" s="31"/>
      <c r="M223" s="31"/>
      <c r="U223" s="31"/>
      <c r="AC223" s="31"/>
      <c r="AO223" s="57"/>
    </row>
    <row r="224" spans="6:41">
      <c r="F224" s="31"/>
      <c r="M224" s="31"/>
      <c r="U224" s="31"/>
      <c r="AC224" s="31"/>
      <c r="AO224" s="57"/>
    </row>
    <row r="225" spans="6:41">
      <c r="F225" s="31"/>
      <c r="M225" s="31"/>
      <c r="U225" s="31"/>
      <c r="AC225" s="31"/>
      <c r="AO225" s="57"/>
    </row>
    <row r="226" spans="6:41">
      <c r="F226" s="31"/>
      <c r="M226" s="31"/>
      <c r="U226" s="31"/>
      <c r="AC226" s="31"/>
      <c r="AO226" s="57"/>
    </row>
    <row r="227" spans="6:41">
      <c r="F227" s="31"/>
      <c r="M227" s="31"/>
      <c r="U227" s="31"/>
      <c r="AC227" s="31"/>
      <c r="AO227" s="57"/>
    </row>
    <row r="228" spans="6:41">
      <c r="F228" s="31"/>
      <c r="M228" s="31"/>
      <c r="U228" s="31"/>
      <c r="AC228" s="31"/>
      <c r="AO228" s="57"/>
    </row>
    <row r="229" spans="6:41">
      <c r="F229" s="31"/>
      <c r="M229" s="31"/>
      <c r="U229" s="31"/>
      <c r="AC229" s="31"/>
      <c r="AO229" s="57"/>
    </row>
    <row r="230" spans="6:41">
      <c r="F230" s="31"/>
      <c r="M230" s="31"/>
      <c r="U230" s="31"/>
      <c r="AC230" s="31"/>
      <c r="AO230" s="57"/>
    </row>
    <row r="231" spans="6:41">
      <c r="F231" s="31"/>
      <c r="M231" s="31"/>
      <c r="U231" s="31"/>
      <c r="AC231" s="31"/>
      <c r="AO231" s="57"/>
    </row>
    <row r="232" spans="6:41">
      <c r="F232" s="31"/>
      <c r="M232" s="31"/>
      <c r="U232" s="31"/>
      <c r="AC232" s="31"/>
      <c r="AO232" s="57"/>
    </row>
    <row r="233" spans="6:41">
      <c r="F233" s="31"/>
      <c r="M233" s="31"/>
      <c r="U233" s="31"/>
      <c r="AC233" s="31"/>
      <c r="AO233" s="57"/>
    </row>
    <row r="234" spans="6:41">
      <c r="F234" s="31"/>
      <c r="M234" s="31"/>
      <c r="U234" s="31"/>
      <c r="AC234" s="31"/>
      <c r="AO234" s="57"/>
    </row>
    <row r="235" spans="6:41">
      <c r="F235" s="31"/>
      <c r="M235" s="31"/>
      <c r="U235" s="31"/>
      <c r="AC235" s="31"/>
      <c r="AO235" s="57"/>
    </row>
    <row r="236" spans="6:41">
      <c r="F236" s="31"/>
      <c r="M236" s="31"/>
      <c r="U236" s="31"/>
      <c r="AC236" s="31"/>
      <c r="AO236" s="57"/>
    </row>
    <row r="237" spans="6:41">
      <c r="F237" s="31"/>
      <c r="M237" s="31"/>
      <c r="U237" s="31"/>
      <c r="AC237" s="31"/>
      <c r="AO237" s="57"/>
    </row>
    <row r="238" spans="6:41">
      <c r="F238" s="31"/>
      <c r="M238" s="31"/>
      <c r="U238" s="31"/>
      <c r="AC238" s="31"/>
      <c r="AO238" s="57"/>
    </row>
    <row r="239" spans="6:41">
      <c r="F239" s="31"/>
      <c r="M239" s="31"/>
      <c r="U239" s="31"/>
      <c r="AC239" s="31"/>
      <c r="AO239" s="57"/>
    </row>
    <row r="240" spans="6:41">
      <c r="F240" s="31"/>
      <c r="M240" s="31"/>
      <c r="U240" s="31"/>
      <c r="AC240" s="31"/>
      <c r="AO240" s="57"/>
    </row>
    <row r="241" spans="6:41">
      <c r="F241" s="31"/>
      <c r="M241" s="31"/>
      <c r="U241" s="31"/>
      <c r="AC241" s="31"/>
      <c r="AO241" s="57"/>
    </row>
    <row r="242" spans="6:41">
      <c r="F242" s="31"/>
      <c r="M242" s="31"/>
      <c r="U242" s="31"/>
      <c r="AC242" s="31"/>
      <c r="AO242" s="57"/>
    </row>
    <row r="243" spans="6:41">
      <c r="F243" s="31"/>
      <c r="M243" s="31"/>
      <c r="U243" s="31"/>
      <c r="AC243" s="31"/>
      <c r="AO243" s="57"/>
    </row>
    <row r="244" spans="6:41">
      <c r="F244" s="31"/>
      <c r="M244" s="31"/>
      <c r="U244" s="31"/>
      <c r="AC244" s="31"/>
      <c r="AO244" s="57"/>
    </row>
    <row r="245" spans="6:41">
      <c r="F245" s="31"/>
      <c r="M245" s="31"/>
      <c r="U245" s="31"/>
      <c r="AC245" s="31"/>
      <c r="AO245" s="57"/>
    </row>
    <row r="246" spans="6:41">
      <c r="F246" s="31"/>
      <c r="M246" s="31"/>
      <c r="U246" s="31"/>
      <c r="AC246" s="31"/>
      <c r="AO246" s="57"/>
    </row>
    <row r="247" spans="6:41">
      <c r="F247" s="31"/>
      <c r="M247" s="31"/>
      <c r="U247" s="31"/>
      <c r="AC247" s="31"/>
      <c r="AO247" s="57"/>
    </row>
    <row r="248" spans="6:41">
      <c r="F248" s="31"/>
      <c r="M248" s="31"/>
      <c r="U248" s="31"/>
      <c r="AC248" s="31"/>
      <c r="AO248" s="57"/>
    </row>
    <row r="249" spans="6:41">
      <c r="F249" s="31"/>
      <c r="M249" s="31"/>
      <c r="U249" s="31"/>
      <c r="AC249" s="31"/>
      <c r="AO249" s="57"/>
    </row>
    <row r="250" spans="6:41">
      <c r="F250" s="31"/>
      <c r="M250" s="31"/>
      <c r="U250" s="31"/>
      <c r="AC250" s="31"/>
      <c r="AO250" s="57"/>
    </row>
    <row r="251" spans="6:41">
      <c r="F251" s="31"/>
      <c r="M251" s="31"/>
      <c r="U251" s="31"/>
      <c r="AC251" s="31"/>
      <c r="AO251" s="57"/>
    </row>
    <row r="252" spans="6:41">
      <c r="F252" s="31"/>
      <c r="M252" s="31"/>
      <c r="U252" s="31"/>
      <c r="AC252" s="31"/>
      <c r="AO252" s="57"/>
    </row>
    <row r="253" spans="6:41">
      <c r="F253" s="31"/>
      <c r="M253" s="31"/>
      <c r="U253" s="31"/>
      <c r="AC253" s="31"/>
      <c r="AO253" s="57"/>
    </row>
    <row r="254" spans="6:41">
      <c r="F254" s="31"/>
      <c r="M254" s="31"/>
      <c r="U254" s="31"/>
      <c r="AC254" s="31"/>
      <c r="AO254" s="57"/>
    </row>
    <row r="255" spans="6:41">
      <c r="F255" s="31"/>
      <c r="M255" s="31"/>
      <c r="U255" s="31"/>
      <c r="AC255" s="31"/>
      <c r="AO255" s="57"/>
    </row>
    <row r="256" spans="6:41">
      <c r="F256" s="31"/>
      <c r="M256" s="31"/>
      <c r="U256" s="31"/>
      <c r="AC256" s="31"/>
      <c r="AO256" s="57"/>
    </row>
    <row r="257" spans="6:41">
      <c r="F257" s="31"/>
      <c r="M257" s="31"/>
      <c r="U257" s="31"/>
      <c r="AC257" s="31"/>
      <c r="AO257" s="57"/>
    </row>
    <row r="258" spans="6:41">
      <c r="F258" s="31"/>
      <c r="M258" s="31"/>
      <c r="U258" s="31"/>
      <c r="AC258" s="31"/>
      <c r="AO258" s="57"/>
    </row>
    <row r="259" spans="6:41">
      <c r="F259" s="31"/>
      <c r="M259" s="31"/>
      <c r="U259" s="31"/>
      <c r="AC259" s="31"/>
      <c r="AO259" s="57"/>
    </row>
    <row r="260" spans="6:41">
      <c r="F260" s="31"/>
      <c r="M260" s="31"/>
      <c r="U260" s="31"/>
      <c r="AC260" s="31"/>
      <c r="AO260" s="57"/>
    </row>
    <row r="261" spans="6:41">
      <c r="F261" s="31"/>
      <c r="M261" s="31"/>
      <c r="U261" s="31"/>
      <c r="AC261" s="31"/>
      <c r="AO261" s="57"/>
    </row>
    <row r="262" spans="6:41">
      <c r="F262" s="31"/>
      <c r="M262" s="31"/>
      <c r="U262" s="31"/>
      <c r="AC262" s="31"/>
      <c r="AO262" s="57"/>
    </row>
    <row r="263" spans="6:41">
      <c r="F263" s="31"/>
      <c r="M263" s="31"/>
      <c r="U263" s="31"/>
      <c r="AC263" s="31"/>
      <c r="AO263" s="57"/>
    </row>
    <row r="264" spans="6:41">
      <c r="F264" s="31"/>
      <c r="M264" s="31"/>
      <c r="U264" s="31"/>
      <c r="AC264" s="31"/>
      <c r="AO264" s="57"/>
    </row>
    <row r="265" spans="6:41">
      <c r="F265" s="31"/>
      <c r="M265" s="31"/>
      <c r="U265" s="31"/>
      <c r="AC265" s="31"/>
      <c r="AO265" s="57"/>
    </row>
    <row r="266" spans="6:41">
      <c r="F266" s="31"/>
      <c r="M266" s="31"/>
      <c r="U266" s="31"/>
      <c r="AC266" s="31"/>
      <c r="AO266" s="57"/>
    </row>
    <row r="267" spans="6:41">
      <c r="F267" s="31"/>
      <c r="M267" s="31"/>
      <c r="U267" s="31"/>
      <c r="AC267" s="31"/>
      <c r="AO267" s="57"/>
    </row>
    <row r="268" spans="6:41">
      <c r="F268" s="31"/>
      <c r="M268" s="31"/>
      <c r="U268" s="31"/>
      <c r="AC268" s="31"/>
      <c r="AO268" s="57"/>
    </row>
    <row r="269" spans="6:41">
      <c r="F269" s="31"/>
      <c r="M269" s="31"/>
      <c r="U269" s="31"/>
      <c r="AC269" s="31"/>
      <c r="AO269" s="57"/>
    </row>
    <row r="270" spans="6:41">
      <c r="F270" s="31"/>
      <c r="M270" s="31"/>
      <c r="U270" s="31"/>
      <c r="AC270" s="31"/>
      <c r="AO270" s="57"/>
    </row>
    <row r="271" spans="6:41">
      <c r="F271" s="31"/>
      <c r="M271" s="31"/>
      <c r="U271" s="31"/>
      <c r="AC271" s="31"/>
      <c r="AO271" s="57"/>
    </row>
    <row r="272" spans="6:41">
      <c r="F272" s="31"/>
      <c r="M272" s="31"/>
      <c r="U272" s="31"/>
      <c r="AC272" s="31"/>
      <c r="AO272" s="57"/>
    </row>
    <row r="273" spans="6:41">
      <c r="F273" s="31"/>
      <c r="M273" s="31"/>
      <c r="U273" s="31"/>
      <c r="AC273" s="31"/>
      <c r="AO273" s="57"/>
    </row>
    <row r="274" spans="6:41">
      <c r="F274" s="31"/>
      <c r="M274" s="31"/>
      <c r="U274" s="31"/>
      <c r="AC274" s="31"/>
      <c r="AO274" s="57"/>
    </row>
    <row r="275" spans="6:41">
      <c r="F275" s="31"/>
      <c r="M275" s="31"/>
      <c r="U275" s="31"/>
      <c r="AC275" s="31"/>
      <c r="AO275" s="57"/>
    </row>
    <row r="276" spans="6:41">
      <c r="F276" s="31"/>
      <c r="M276" s="31"/>
      <c r="U276" s="31"/>
      <c r="AC276" s="31"/>
      <c r="AO276" s="57"/>
    </row>
    <row r="277" spans="6:41">
      <c r="F277" s="31"/>
      <c r="M277" s="31"/>
      <c r="U277" s="31"/>
      <c r="AC277" s="31"/>
      <c r="AO277" s="57"/>
    </row>
    <row r="278" spans="6:41">
      <c r="F278" s="31"/>
      <c r="M278" s="31"/>
      <c r="U278" s="31"/>
      <c r="AC278" s="31"/>
      <c r="AO278" s="57"/>
    </row>
    <row r="279" spans="6:41">
      <c r="F279" s="31"/>
      <c r="M279" s="31"/>
      <c r="U279" s="31"/>
      <c r="AC279" s="31"/>
      <c r="AO279" s="57"/>
    </row>
    <row r="280" spans="6:41">
      <c r="F280" s="31"/>
      <c r="M280" s="31"/>
      <c r="U280" s="31"/>
      <c r="AC280" s="31"/>
      <c r="AO280" s="57"/>
    </row>
    <row r="281" spans="6:41">
      <c r="F281" s="31"/>
      <c r="M281" s="31"/>
      <c r="U281" s="31"/>
      <c r="AC281" s="31"/>
      <c r="AO281" s="57"/>
    </row>
    <row r="282" spans="6:41">
      <c r="F282" s="31"/>
      <c r="M282" s="31"/>
      <c r="U282" s="31"/>
      <c r="AC282" s="31"/>
      <c r="AO282" s="57"/>
    </row>
    <row r="283" spans="6:41">
      <c r="F283" s="31"/>
      <c r="M283" s="31"/>
      <c r="U283" s="31"/>
      <c r="AC283" s="31"/>
      <c r="AO283" s="57"/>
    </row>
    <row r="284" spans="6:41">
      <c r="F284" s="31"/>
      <c r="M284" s="31"/>
      <c r="U284" s="31"/>
      <c r="AC284" s="31"/>
      <c r="AO284" s="57"/>
    </row>
    <row r="285" spans="6:41">
      <c r="F285" s="31"/>
      <c r="M285" s="31"/>
      <c r="U285" s="31"/>
      <c r="AC285" s="31"/>
      <c r="AO285" s="57"/>
    </row>
    <row r="286" spans="6:41">
      <c r="F286" s="31"/>
      <c r="M286" s="31"/>
      <c r="U286" s="31"/>
      <c r="AC286" s="31"/>
      <c r="AO286" s="57"/>
    </row>
    <row r="287" spans="6:41">
      <c r="F287" s="31"/>
      <c r="M287" s="31"/>
      <c r="U287" s="31"/>
      <c r="AC287" s="31"/>
      <c r="AO287" s="57"/>
    </row>
    <row r="288" spans="6:41">
      <c r="F288" s="31"/>
      <c r="M288" s="31"/>
      <c r="U288" s="31"/>
      <c r="AC288" s="31"/>
      <c r="AO288" s="57"/>
    </row>
    <row r="289" spans="6:41">
      <c r="F289" s="31"/>
      <c r="M289" s="31"/>
      <c r="U289" s="31"/>
      <c r="AC289" s="31"/>
      <c r="AO289" s="57"/>
    </row>
    <row r="290" spans="6:41">
      <c r="F290" s="31"/>
      <c r="M290" s="31"/>
      <c r="U290" s="31"/>
      <c r="AC290" s="31"/>
      <c r="AO290" s="57"/>
    </row>
    <row r="291" spans="6:41">
      <c r="F291" s="31"/>
      <c r="M291" s="31"/>
      <c r="U291" s="31"/>
      <c r="AC291" s="31"/>
      <c r="AO291" s="57"/>
    </row>
    <row r="292" spans="6:41">
      <c r="F292" s="31"/>
      <c r="M292" s="31"/>
      <c r="U292" s="31"/>
      <c r="AC292" s="31"/>
      <c r="AO292" s="57"/>
    </row>
    <row r="293" spans="6:41">
      <c r="F293" s="31"/>
      <c r="M293" s="31"/>
      <c r="U293" s="31"/>
      <c r="AC293" s="31"/>
      <c r="AO293" s="57"/>
    </row>
    <row r="294" spans="6:41">
      <c r="F294" s="31"/>
      <c r="M294" s="31"/>
      <c r="U294" s="31"/>
      <c r="AC294" s="31"/>
      <c r="AO294" s="57"/>
    </row>
    <row r="295" spans="6:41">
      <c r="F295" s="31"/>
      <c r="M295" s="31"/>
      <c r="U295" s="31"/>
      <c r="AC295" s="31"/>
      <c r="AO295" s="57"/>
    </row>
    <row r="296" spans="6:41">
      <c r="F296" s="31"/>
      <c r="M296" s="31"/>
      <c r="U296" s="31"/>
      <c r="AC296" s="31"/>
      <c r="AO296" s="57"/>
    </row>
    <row r="297" spans="6:41">
      <c r="F297" s="31"/>
      <c r="M297" s="31"/>
      <c r="U297" s="31"/>
      <c r="AC297" s="31"/>
      <c r="AO297" s="57"/>
    </row>
    <row r="298" spans="6:41">
      <c r="F298" s="31"/>
      <c r="M298" s="31"/>
      <c r="U298" s="31"/>
      <c r="AC298" s="31"/>
      <c r="AO298" s="57"/>
    </row>
    <row r="299" spans="6:41">
      <c r="F299" s="31"/>
      <c r="M299" s="31"/>
      <c r="U299" s="31"/>
      <c r="AC299" s="31"/>
      <c r="AO299" s="57"/>
    </row>
    <row r="300" spans="6:41">
      <c r="F300" s="31"/>
      <c r="M300" s="31"/>
      <c r="U300" s="31"/>
      <c r="AC300" s="31"/>
      <c r="AO300" s="57"/>
    </row>
    <row r="301" spans="6:41">
      <c r="F301" s="31"/>
      <c r="M301" s="31"/>
      <c r="U301" s="31"/>
      <c r="AC301" s="31"/>
      <c r="AO301" s="57"/>
    </row>
    <row r="302" spans="6:41">
      <c r="F302" s="31"/>
      <c r="M302" s="31"/>
      <c r="U302" s="31"/>
      <c r="AC302" s="31"/>
      <c r="AO302" s="57"/>
    </row>
    <row r="303" spans="6:41">
      <c r="F303" s="31"/>
      <c r="M303" s="31"/>
      <c r="U303" s="31"/>
      <c r="AC303" s="31"/>
      <c r="AO303" s="57"/>
    </row>
    <row r="304" spans="6:41">
      <c r="F304" s="31"/>
      <c r="M304" s="31"/>
      <c r="U304" s="31"/>
      <c r="AC304" s="31"/>
      <c r="AO304" s="57"/>
    </row>
    <row r="305" spans="6:41">
      <c r="F305" s="31"/>
      <c r="M305" s="31"/>
      <c r="U305" s="31"/>
      <c r="AC305" s="31"/>
      <c r="AO305" s="57"/>
    </row>
    <row r="306" spans="6:41">
      <c r="F306" s="31"/>
      <c r="M306" s="31"/>
      <c r="U306" s="31"/>
      <c r="AC306" s="31"/>
      <c r="AO306" s="57"/>
    </row>
    <row r="307" spans="6:41">
      <c r="F307" s="31"/>
      <c r="M307" s="31"/>
      <c r="U307" s="31"/>
      <c r="AC307" s="31"/>
      <c r="AO307" s="57"/>
    </row>
    <row r="308" spans="6:41">
      <c r="F308" s="31"/>
      <c r="M308" s="31"/>
      <c r="U308" s="31"/>
      <c r="AC308" s="31"/>
      <c r="AO308" s="57"/>
    </row>
    <row r="309" spans="6:41">
      <c r="F309" s="31"/>
      <c r="M309" s="31"/>
      <c r="U309" s="31"/>
      <c r="AC309" s="31"/>
      <c r="AO309" s="57"/>
    </row>
    <row r="310" spans="6:41">
      <c r="F310" s="31"/>
      <c r="M310" s="31"/>
      <c r="U310" s="31"/>
      <c r="AC310" s="31"/>
      <c r="AO310" s="57"/>
    </row>
    <row r="311" spans="6:41">
      <c r="F311" s="31"/>
      <c r="M311" s="31"/>
      <c r="U311" s="31"/>
      <c r="AC311" s="31"/>
      <c r="AO311" s="57"/>
    </row>
    <row r="312" spans="6:41">
      <c r="F312" s="31"/>
      <c r="M312" s="31"/>
      <c r="U312" s="31"/>
      <c r="AC312" s="31"/>
      <c r="AO312" s="57"/>
    </row>
    <row r="313" spans="6:41">
      <c r="F313" s="31"/>
      <c r="M313" s="31"/>
      <c r="U313" s="31"/>
      <c r="AC313" s="31"/>
      <c r="AO313" s="57"/>
    </row>
    <row r="314" spans="6:41">
      <c r="F314" s="31"/>
      <c r="M314" s="31"/>
      <c r="U314" s="31"/>
      <c r="AC314" s="31"/>
      <c r="AO314" s="57"/>
    </row>
    <row r="315" spans="6:41">
      <c r="F315" s="31"/>
      <c r="M315" s="31"/>
      <c r="U315" s="31"/>
      <c r="AC315" s="31"/>
      <c r="AO315" s="57"/>
    </row>
    <row r="316" spans="6:41">
      <c r="F316" s="31"/>
      <c r="M316" s="31"/>
      <c r="U316" s="31"/>
      <c r="AC316" s="31"/>
      <c r="AO316" s="57"/>
    </row>
    <row r="317" spans="6:41">
      <c r="F317" s="31"/>
      <c r="M317" s="31"/>
      <c r="U317" s="31"/>
      <c r="AC317" s="31"/>
      <c r="AO317" s="57"/>
    </row>
    <row r="318" spans="6:41">
      <c r="F318" s="31"/>
      <c r="M318" s="31"/>
      <c r="U318" s="31"/>
      <c r="AC318" s="31"/>
      <c r="AO318" s="57"/>
    </row>
    <row r="319" spans="6:41">
      <c r="F319" s="31"/>
      <c r="M319" s="31"/>
      <c r="U319" s="31"/>
      <c r="AC319" s="31"/>
      <c r="AO319" s="57"/>
    </row>
    <row r="320" spans="6:41">
      <c r="F320" s="31"/>
      <c r="M320" s="31"/>
      <c r="U320" s="31"/>
      <c r="AC320" s="31"/>
      <c r="AO320" s="57"/>
    </row>
    <row r="321" spans="6:41">
      <c r="F321" s="31"/>
      <c r="M321" s="31"/>
      <c r="U321" s="31"/>
      <c r="AC321" s="31"/>
      <c r="AO321" s="57"/>
    </row>
    <row r="322" spans="6:41">
      <c r="F322" s="31"/>
      <c r="M322" s="31"/>
      <c r="U322" s="31"/>
      <c r="AC322" s="31"/>
      <c r="AO322" s="57"/>
    </row>
    <row r="323" spans="6:41">
      <c r="F323" s="31"/>
      <c r="M323" s="31"/>
      <c r="U323" s="31"/>
      <c r="AC323" s="31"/>
      <c r="AO323" s="57"/>
    </row>
    <row r="324" spans="6:41">
      <c r="F324" s="31"/>
      <c r="M324" s="31"/>
      <c r="U324" s="31"/>
      <c r="AC324" s="31"/>
      <c r="AO324" s="57"/>
    </row>
    <row r="325" spans="6:41">
      <c r="F325" s="31"/>
      <c r="M325" s="31"/>
      <c r="U325" s="31"/>
      <c r="AC325" s="31"/>
      <c r="AO325" s="57"/>
    </row>
    <row r="326" spans="6:41">
      <c r="F326" s="31"/>
      <c r="M326" s="31"/>
      <c r="U326" s="31"/>
      <c r="AC326" s="31"/>
      <c r="AO326" s="57"/>
    </row>
    <row r="327" spans="6:41">
      <c r="F327" s="31"/>
      <c r="M327" s="31"/>
      <c r="U327" s="31"/>
      <c r="AC327" s="31"/>
      <c r="AO327" s="57"/>
    </row>
    <row r="328" spans="6:41">
      <c r="F328" s="31"/>
      <c r="M328" s="31"/>
      <c r="U328" s="31"/>
      <c r="AC328" s="31"/>
      <c r="AO328" s="57"/>
    </row>
    <row r="329" spans="6:41">
      <c r="F329" s="31"/>
      <c r="M329" s="31"/>
      <c r="U329" s="31"/>
      <c r="AC329" s="31"/>
      <c r="AO329" s="57"/>
    </row>
    <row r="330" spans="6:41">
      <c r="F330" s="31"/>
      <c r="M330" s="31"/>
      <c r="U330" s="31"/>
      <c r="AC330" s="31"/>
      <c r="AO330" s="57"/>
    </row>
    <row r="331" spans="6:41">
      <c r="F331" s="31"/>
      <c r="M331" s="31"/>
      <c r="U331" s="31"/>
      <c r="AC331" s="31"/>
      <c r="AO331" s="57"/>
    </row>
    <row r="332" spans="6:41">
      <c r="F332" s="31"/>
      <c r="M332" s="31"/>
      <c r="U332" s="31"/>
      <c r="AC332" s="31"/>
      <c r="AO332" s="57"/>
    </row>
    <row r="333" spans="6:41">
      <c r="F333" s="31"/>
      <c r="M333" s="31"/>
      <c r="U333" s="31"/>
      <c r="AC333" s="31"/>
      <c r="AO333" s="57"/>
    </row>
    <row r="334" spans="6:41">
      <c r="F334" s="31"/>
      <c r="M334" s="31"/>
      <c r="U334" s="31"/>
      <c r="AC334" s="31"/>
      <c r="AO334" s="57"/>
    </row>
    <row r="335" spans="6:41">
      <c r="F335" s="31"/>
      <c r="M335" s="31"/>
      <c r="U335" s="31"/>
      <c r="AC335" s="31"/>
      <c r="AO335" s="57"/>
    </row>
    <row r="336" spans="6:41">
      <c r="F336" s="31"/>
      <c r="M336" s="31"/>
      <c r="U336" s="31"/>
      <c r="AC336" s="31"/>
      <c r="AO336" s="57"/>
    </row>
    <row r="337" spans="6:41">
      <c r="F337" s="31"/>
      <c r="M337" s="31"/>
      <c r="U337" s="31"/>
      <c r="AC337" s="31"/>
      <c r="AO337" s="57"/>
    </row>
    <row r="338" spans="6:41">
      <c r="F338" s="31"/>
      <c r="M338" s="31"/>
      <c r="U338" s="31"/>
      <c r="AC338" s="31"/>
      <c r="AO338" s="57"/>
    </row>
    <row r="339" spans="6:41">
      <c r="F339" s="31"/>
      <c r="M339" s="31"/>
      <c r="U339" s="31"/>
      <c r="AC339" s="31"/>
      <c r="AO339" s="57"/>
    </row>
    <row r="340" spans="6:41">
      <c r="F340" s="31"/>
      <c r="M340" s="31"/>
      <c r="U340" s="31"/>
      <c r="AC340" s="31"/>
      <c r="AO340" s="57"/>
    </row>
    <row r="341" spans="6:41">
      <c r="F341" s="31"/>
      <c r="M341" s="31"/>
      <c r="U341" s="31"/>
      <c r="AC341" s="31"/>
      <c r="AO341" s="57"/>
    </row>
    <row r="342" spans="6:41">
      <c r="F342" s="31"/>
      <c r="M342" s="31"/>
      <c r="U342" s="31"/>
      <c r="AC342" s="31"/>
      <c r="AO342" s="57"/>
    </row>
    <row r="343" spans="6:41">
      <c r="F343" s="31"/>
      <c r="M343" s="31"/>
      <c r="U343" s="31"/>
      <c r="AC343" s="31"/>
      <c r="AO343" s="57"/>
    </row>
    <row r="344" spans="6:41">
      <c r="F344" s="31"/>
      <c r="M344" s="31"/>
      <c r="U344" s="31"/>
      <c r="AC344" s="31"/>
      <c r="AO344" s="57"/>
    </row>
    <row r="345" spans="6:41">
      <c r="F345" s="31"/>
      <c r="M345" s="31"/>
      <c r="U345" s="31"/>
      <c r="AC345" s="31"/>
      <c r="AO345" s="57"/>
    </row>
    <row r="346" spans="6:41">
      <c r="F346" s="31"/>
      <c r="M346" s="31"/>
      <c r="U346" s="31"/>
      <c r="AC346" s="31"/>
      <c r="AO346" s="57"/>
    </row>
    <row r="347" spans="6:41">
      <c r="F347" s="31"/>
      <c r="M347" s="31"/>
      <c r="U347" s="31"/>
      <c r="AC347" s="31"/>
      <c r="AO347" s="57"/>
    </row>
    <row r="348" spans="6:41">
      <c r="F348" s="31"/>
      <c r="M348" s="31"/>
      <c r="U348" s="31"/>
      <c r="AC348" s="31"/>
      <c r="AO348" s="57"/>
    </row>
    <row r="349" spans="6:41">
      <c r="F349" s="31"/>
      <c r="M349" s="31"/>
      <c r="U349" s="31"/>
      <c r="AC349" s="31"/>
      <c r="AO349" s="57"/>
    </row>
    <row r="350" spans="6:41">
      <c r="F350" s="31"/>
      <c r="M350" s="31"/>
      <c r="U350" s="31"/>
      <c r="AC350" s="31"/>
      <c r="AO350" s="57"/>
    </row>
    <row r="351" spans="6:41">
      <c r="F351" s="31"/>
      <c r="M351" s="31"/>
      <c r="U351" s="31"/>
      <c r="AC351" s="31"/>
      <c r="AO351" s="57"/>
    </row>
    <row r="352" spans="6:41">
      <c r="F352" s="31"/>
      <c r="M352" s="31"/>
      <c r="U352" s="31"/>
      <c r="AC352" s="31"/>
      <c r="AO352" s="57"/>
    </row>
    <row r="353" spans="6:41">
      <c r="F353" s="31"/>
      <c r="M353" s="31"/>
      <c r="U353" s="31"/>
      <c r="AC353" s="31"/>
      <c r="AO353" s="57"/>
    </row>
    <row r="354" spans="6:41">
      <c r="F354" s="31"/>
      <c r="M354" s="31"/>
      <c r="U354" s="31"/>
      <c r="AC354" s="31"/>
      <c r="AO354" s="57"/>
    </row>
    <row r="355" spans="6:41">
      <c r="F355" s="31"/>
      <c r="M355" s="31"/>
      <c r="U355" s="31"/>
      <c r="AC355" s="31"/>
      <c r="AO355" s="57"/>
    </row>
    <row r="356" spans="6:41">
      <c r="F356" s="31"/>
      <c r="M356" s="31"/>
      <c r="U356" s="31"/>
      <c r="AC356" s="31"/>
      <c r="AO356" s="57"/>
    </row>
    <row r="357" spans="6:41">
      <c r="F357" s="31"/>
      <c r="M357" s="31"/>
      <c r="U357" s="31"/>
      <c r="AC357" s="31"/>
      <c r="AO357" s="57"/>
    </row>
    <row r="358" spans="6:41">
      <c r="F358" s="31"/>
      <c r="M358" s="31"/>
      <c r="U358" s="31"/>
      <c r="AC358" s="31"/>
      <c r="AO358" s="57"/>
    </row>
    <row r="359" spans="6:41">
      <c r="F359" s="31"/>
      <c r="M359" s="31"/>
      <c r="U359" s="31"/>
      <c r="AC359" s="31"/>
      <c r="AO359" s="57"/>
    </row>
    <row r="360" spans="6:41">
      <c r="F360" s="31"/>
      <c r="M360" s="31"/>
      <c r="U360" s="31"/>
      <c r="AC360" s="31"/>
      <c r="AO360" s="57"/>
    </row>
    <row r="361" spans="6:41">
      <c r="F361" s="31"/>
      <c r="M361" s="31"/>
      <c r="U361" s="31"/>
      <c r="AC361" s="31"/>
      <c r="AO361" s="57"/>
    </row>
    <row r="362" spans="6:41">
      <c r="F362" s="31"/>
      <c r="M362" s="31"/>
      <c r="U362" s="31"/>
      <c r="AC362" s="31"/>
      <c r="AO362" s="57"/>
    </row>
    <row r="363" spans="6:41">
      <c r="F363" s="31"/>
      <c r="M363" s="31"/>
      <c r="U363" s="31"/>
      <c r="AC363" s="31"/>
      <c r="AO363" s="57"/>
    </row>
    <row r="364" spans="6:41">
      <c r="F364" s="31"/>
      <c r="M364" s="31"/>
      <c r="U364" s="31"/>
      <c r="AC364" s="31"/>
      <c r="AO364" s="57"/>
    </row>
    <row r="365" spans="6:41">
      <c r="F365" s="31"/>
      <c r="M365" s="31"/>
      <c r="U365" s="31"/>
      <c r="AC365" s="31"/>
      <c r="AO365" s="57"/>
    </row>
    <row r="366" spans="6:41">
      <c r="F366" s="31"/>
      <c r="M366" s="31"/>
      <c r="U366" s="31"/>
      <c r="AC366" s="31"/>
      <c r="AO366" s="57"/>
    </row>
    <row r="367" spans="6:41">
      <c r="F367" s="31"/>
      <c r="M367" s="31"/>
      <c r="U367" s="31"/>
      <c r="AC367" s="31"/>
      <c r="AO367" s="57"/>
    </row>
    <row r="368" spans="6:41">
      <c r="F368" s="31"/>
      <c r="M368" s="31"/>
      <c r="U368" s="31"/>
      <c r="AC368" s="31"/>
      <c r="AO368" s="57"/>
    </row>
    <row r="369" spans="6:41">
      <c r="F369" s="31"/>
      <c r="M369" s="31"/>
      <c r="U369" s="31"/>
      <c r="AC369" s="31"/>
      <c r="AO369" s="57"/>
    </row>
    <row r="370" spans="6:41">
      <c r="F370" s="31"/>
      <c r="M370" s="31"/>
      <c r="U370" s="31"/>
      <c r="AC370" s="31"/>
      <c r="AO370" s="57"/>
    </row>
    <row r="371" spans="6:41">
      <c r="F371" s="31"/>
      <c r="M371" s="31"/>
      <c r="U371" s="31"/>
      <c r="AC371" s="31"/>
      <c r="AO371" s="57"/>
    </row>
    <row r="372" spans="6:41">
      <c r="F372" s="31"/>
      <c r="M372" s="31"/>
      <c r="U372" s="31"/>
      <c r="AC372" s="31"/>
      <c r="AO372" s="57"/>
    </row>
    <row r="373" spans="6:41">
      <c r="F373" s="31"/>
      <c r="M373" s="31"/>
      <c r="U373" s="31"/>
      <c r="AC373" s="31"/>
      <c r="AO373" s="57"/>
    </row>
    <row r="374" spans="6:41">
      <c r="F374" s="31"/>
      <c r="M374" s="31"/>
      <c r="U374" s="31"/>
      <c r="AC374" s="31"/>
      <c r="AO374" s="57"/>
    </row>
    <row r="375" spans="6:41">
      <c r="F375" s="31"/>
      <c r="M375" s="31"/>
      <c r="U375" s="31"/>
      <c r="AC375" s="31"/>
      <c r="AO375" s="57"/>
    </row>
    <row r="376" spans="6:41">
      <c r="F376" s="31"/>
      <c r="M376" s="31"/>
      <c r="U376" s="31"/>
      <c r="AC376" s="31"/>
      <c r="AO376" s="57"/>
    </row>
    <row r="377" spans="6:41">
      <c r="F377" s="31"/>
      <c r="M377" s="31"/>
      <c r="U377" s="31"/>
      <c r="AC377" s="31"/>
      <c r="AO377" s="57"/>
    </row>
    <row r="378" spans="6:41">
      <c r="F378" s="31"/>
      <c r="M378" s="31"/>
      <c r="U378" s="31"/>
      <c r="AC378" s="31"/>
      <c r="AO378" s="57"/>
    </row>
    <row r="379" spans="6:41">
      <c r="F379" s="31"/>
      <c r="M379" s="31"/>
      <c r="U379" s="31"/>
      <c r="AC379" s="31"/>
      <c r="AO379" s="57"/>
    </row>
    <row r="380" spans="6:41">
      <c r="F380" s="31"/>
      <c r="M380" s="31"/>
      <c r="U380" s="31"/>
      <c r="AC380" s="31"/>
      <c r="AO380" s="57"/>
    </row>
    <row r="381" spans="6:41">
      <c r="F381" s="31"/>
      <c r="M381" s="31"/>
      <c r="U381" s="31"/>
      <c r="AC381" s="31"/>
      <c r="AO381" s="57"/>
    </row>
    <row r="382" spans="6:41">
      <c r="F382" s="31"/>
      <c r="M382" s="31"/>
      <c r="U382" s="31"/>
      <c r="AC382" s="31"/>
      <c r="AO382" s="57"/>
    </row>
    <row r="383" spans="6:41">
      <c r="F383" s="31"/>
      <c r="M383" s="31"/>
      <c r="U383" s="31"/>
      <c r="AC383" s="31"/>
      <c r="AO383" s="57"/>
    </row>
    <row r="384" spans="6:41">
      <c r="F384" s="31"/>
      <c r="M384" s="31"/>
      <c r="U384" s="31"/>
      <c r="AC384" s="31"/>
      <c r="AO384" s="57"/>
    </row>
    <row r="385" spans="6:41">
      <c r="F385" s="31"/>
      <c r="M385" s="31"/>
      <c r="U385" s="31"/>
      <c r="AC385" s="31"/>
      <c r="AO385" s="57"/>
    </row>
    <row r="386" spans="6:41">
      <c r="F386" s="31"/>
      <c r="M386" s="31"/>
      <c r="U386" s="31"/>
      <c r="AC386" s="31"/>
      <c r="AO386" s="57"/>
    </row>
    <row r="387" spans="6:41">
      <c r="F387" s="31"/>
      <c r="M387" s="31"/>
      <c r="U387" s="31"/>
      <c r="AC387" s="31"/>
      <c r="AO387" s="57"/>
    </row>
    <row r="388" spans="6:41">
      <c r="F388" s="31"/>
      <c r="M388" s="31"/>
      <c r="U388" s="31"/>
      <c r="AC388" s="31"/>
      <c r="AO388" s="57"/>
    </row>
    <row r="389" spans="6:41">
      <c r="F389" s="31"/>
      <c r="M389" s="31"/>
      <c r="U389" s="31"/>
      <c r="AC389" s="31"/>
      <c r="AO389" s="57"/>
    </row>
    <row r="390" spans="6:41">
      <c r="F390" s="31"/>
      <c r="M390" s="31"/>
      <c r="U390" s="31"/>
      <c r="AC390" s="31"/>
      <c r="AO390" s="57"/>
    </row>
    <row r="391" spans="6:41">
      <c r="F391" s="31"/>
      <c r="M391" s="31"/>
      <c r="U391" s="31"/>
      <c r="AC391" s="31"/>
      <c r="AO391" s="57"/>
    </row>
    <row r="392" spans="6:41">
      <c r="F392" s="31"/>
      <c r="M392" s="31"/>
      <c r="U392" s="31"/>
      <c r="AC392" s="31"/>
      <c r="AO392" s="57"/>
    </row>
    <row r="393" spans="6:41">
      <c r="F393" s="31"/>
      <c r="M393" s="31"/>
      <c r="U393" s="31"/>
      <c r="AC393" s="31"/>
      <c r="AO393" s="57"/>
    </row>
    <row r="394" spans="6:41">
      <c r="F394" s="31"/>
      <c r="M394" s="31"/>
      <c r="U394" s="31"/>
      <c r="AC394" s="31"/>
      <c r="AO394" s="57"/>
    </row>
    <row r="395" spans="6:41">
      <c r="F395" s="31"/>
      <c r="M395" s="31"/>
      <c r="U395" s="31"/>
      <c r="AC395" s="31"/>
      <c r="AO395" s="57"/>
    </row>
    <row r="396" spans="6:41">
      <c r="F396" s="31"/>
      <c r="M396" s="31"/>
      <c r="U396" s="31"/>
      <c r="AC396" s="31"/>
      <c r="AO396" s="57"/>
    </row>
    <row r="397" spans="6:41">
      <c r="F397" s="31"/>
      <c r="M397" s="31"/>
      <c r="U397" s="31"/>
      <c r="AC397" s="31"/>
      <c r="AO397" s="57"/>
    </row>
    <row r="398" spans="6:41">
      <c r="F398" s="31"/>
      <c r="M398" s="31"/>
      <c r="U398" s="31"/>
      <c r="AC398" s="31"/>
      <c r="AO398" s="57"/>
    </row>
    <row r="399" spans="6:41">
      <c r="F399" s="31"/>
      <c r="M399" s="31"/>
      <c r="U399" s="31"/>
      <c r="AC399" s="31"/>
      <c r="AO399" s="57"/>
    </row>
    <row r="400" spans="6:41">
      <c r="F400" s="31"/>
      <c r="M400" s="31"/>
      <c r="U400" s="31"/>
      <c r="AC400" s="31"/>
      <c r="AO400" s="57"/>
    </row>
    <row r="401" spans="6:41">
      <c r="F401" s="31"/>
      <c r="M401" s="31"/>
      <c r="U401" s="31"/>
      <c r="AC401" s="31"/>
      <c r="AO401" s="57"/>
    </row>
    <row r="402" spans="6:41">
      <c r="F402" s="31"/>
      <c r="M402" s="31"/>
      <c r="U402" s="31"/>
      <c r="AC402" s="31"/>
      <c r="AO402" s="57"/>
    </row>
    <row r="403" spans="6:41">
      <c r="F403" s="31"/>
      <c r="M403" s="31"/>
      <c r="U403" s="31"/>
      <c r="AC403" s="31"/>
      <c r="AO403" s="57"/>
    </row>
    <row r="404" spans="6:41">
      <c r="F404" s="31"/>
      <c r="M404" s="31"/>
      <c r="U404" s="31"/>
      <c r="AC404" s="31"/>
      <c r="AO404" s="57"/>
    </row>
    <row r="405" spans="6:41">
      <c r="F405" s="31"/>
      <c r="M405" s="31"/>
      <c r="U405" s="31"/>
      <c r="AC405" s="31"/>
      <c r="AO405" s="57"/>
    </row>
    <row r="406" spans="6:41">
      <c r="F406" s="31"/>
      <c r="M406" s="31"/>
      <c r="U406" s="31"/>
      <c r="AC406" s="31"/>
      <c r="AO406" s="57"/>
    </row>
    <row r="407" spans="6:41">
      <c r="F407" s="31"/>
      <c r="M407" s="31"/>
      <c r="U407" s="31"/>
      <c r="AC407" s="31"/>
      <c r="AO407" s="57"/>
    </row>
    <row r="408" spans="6:41">
      <c r="F408" s="31"/>
      <c r="M408" s="31"/>
      <c r="U408" s="31"/>
      <c r="AC408" s="31"/>
      <c r="AO408" s="57"/>
    </row>
    <row r="409" spans="6:41">
      <c r="F409" s="31"/>
      <c r="M409" s="31"/>
      <c r="U409" s="31"/>
      <c r="AC409" s="31"/>
      <c r="AO409" s="57"/>
    </row>
    <row r="410" spans="6:41">
      <c r="F410" s="31"/>
      <c r="M410" s="31"/>
      <c r="U410" s="31"/>
      <c r="AC410" s="31"/>
      <c r="AO410" s="57"/>
    </row>
    <row r="411" spans="6:41">
      <c r="F411" s="31"/>
      <c r="M411" s="31"/>
      <c r="U411" s="31"/>
      <c r="AC411" s="31"/>
      <c r="AO411" s="57"/>
    </row>
    <row r="412" spans="6:41">
      <c r="F412" s="31"/>
      <c r="M412" s="31"/>
      <c r="U412" s="31"/>
      <c r="AC412" s="31"/>
      <c r="AO412" s="57"/>
    </row>
    <row r="413" spans="6:41">
      <c r="F413" s="31"/>
      <c r="M413" s="31"/>
      <c r="U413" s="31"/>
      <c r="AC413" s="31"/>
      <c r="AO413" s="57"/>
    </row>
    <row r="414" spans="6:41">
      <c r="F414" s="31"/>
      <c r="M414" s="31"/>
      <c r="U414" s="31"/>
      <c r="AC414" s="31"/>
      <c r="AO414" s="57"/>
    </row>
    <row r="415" spans="6:41">
      <c r="F415" s="31"/>
      <c r="M415" s="31"/>
      <c r="U415" s="31"/>
      <c r="AC415" s="31"/>
      <c r="AO415" s="57"/>
    </row>
    <row r="416" spans="6:41">
      <c r="F416" s="31"/>
      <c r="M416" s="31"/>
      <c r="U416" s="31"/>
      <c r="AC416" s="31"/>
      <c r="AO416" s="57"/>
    </row>
    <row r="417" spans="6:41">
      <c r="F417" s="31"/>
      <c r="M417" s="31"/>
      <c r="U417" s="31"/>
      <c r="AC417" s="31"/>
      <c r="AO417" s="57"/>
    </row>
    <row r="418" spans="6:41">
      <c r="F418" s="31"/>
      <c r="M418" s="31"/>
      <c r="U418" s="31"/>
      <c r="AC418" s="31"/>
      <c r="AO418" s="57"/>
    </row>
    <row r="419" spans="6:41">
      <c r="F419" s="31"/>
      <c r="M419" s="31"/>
      <c r="U419" s="31"/>
      <c r="AC419" s="31"/>
      <c r="AO419" s="57"/>
    </row>
    <row r="420" spans="6:41">
      <c r="F420" s="31"/>
      <c r="M420" s="31"/>
      <c r="U420" s="31"/>
      <c r="AC420" s="31"/>
      <c r="AO420" s="57"/>
    </row>
    <row r="421" spans="6:41">
      <c r="F421" s="31"/>
      <c r="M421" s="31"/>
      <c r="U421" s="31"/>
      <c r="AC421" s="31"/>
      <c r="AO421" s="57"/>
    </row>
    <row r="422" spans="6:41">
      <c r="F422" s="31"/>
      <c r="M422" s="31"/>
      <c r="U422" s="31"/>
      <c r="AC422" s="31"/>
      <c r="AO422" s="57"/>
    </row>
    <row r="423" spans="6:41">
      <c r="F423" s="31"/>
      <c r="M423" s="31"/>
      <c r="U423" s="31"/>
      <c r="AC423" s="31"/>
      <c r="AO423" s="57"/>
    </row>
    <row r="424" spans="6:41">
      <c r="F424" s="31"/>
      <c r="M424" s="31"/>
      <c r="U424" s="31"/>
      <c r="AC424" s="31"/>
      <c r="AO424" s="57"/>
    </row>
    <row r="425" spans="6:41">
      <c r="F425" s="31"/>
      <c r="M425" s="31"/>
      <c r="U425" s="31"/>
      <c r="AC425" s="31"/>
      <c r="AO425" s="57"/>
    </row>
    <row r="426" spans="6:41">
      <c r="F426" s="31"/>
      <c r="M426" s="31"/>
      <c r="U426" s="31"/>
      <c r="AC426" s="31"/>
      <c r="AO426" s="57"/>
    </row>
    <row r="427" spans="6:41">
      <c r="F427" s="31"/>
      <c r="M427" s="31"/>
      <c r="U427" s="31"/>
      <c r="AC427" s="31"/>
      <c r="AO427" s="57"/>
    </row>
    <row r="428" spans="6:41">
      <c r="F428" s="31"/>
      <c r="M428" s="31"/>
      <c r="U428" s="31"/>
      <c r="AC428" s="31"/>
      <c r="AO428" s="57"/>
    </row>
    <row r="429" spans="6:41">
      <c r="F429" s="31"/>
      <c r="M429" s="31"/>
      <c r="U429" s="31"/>
      <c r="AC429" s="31"/>
      <c r="AO429" s="57"/>
    </row>
    <row r="430" spans="6:41">
      <c r="F430" s="31"/>
      <c r="M430" s="31"/>
      <c r="U430" s="31"/>
      <c r="AC430" s="31"/>
      <c r="AO430" s="57"/>
    </row>
    <row r="431" spans="6:41">
      <c r="F431" s="31"/>
      <c r="M431" s="31"/>
      <c r="U431" s="31"/>
      <c r="AC431" s="31"/>
      <c r="AO431" s="57"/>
    </row>
    <row r="432" spans="6:41">
      <c r="F432" s="31"/>
      <c r="M432" s="31"/>
      <c r="U432" s="31"/>
      <c r="AC432" s="31"/>
      <c r="AO432" s="57"/>
    </row>
    <row r="433" spans="6:41">
      <c r="F433" s="31"/>
      <c r="M433" s="31"/>
      <c r="U433" s="31"/>
      <c r="AC433" s="31"/>
      <c r="AO433" s="57"/>
    </row>
    <row r="434" spans="6:41">
      <c r="F434" s="31"/>
      <c r="M434" s="31"/>
      <c r="U434" s="31"/>
      <c r="AC434" s="31"/>
      <c r="AO434" s="57"/>
    </row>
    <row r="435" spans="6:41">
      <c r="F435" s="31"/>
      <c r="M435" s="31"/>
      <c r="U435" s="31"/>
      <c r="AC435" s="31"/>
      <c r="AO435" s="57"/>
    </row>
    <row r="436" spans="6:41">
      <c r="F436" s="31"/>
      <c r="M436" s="31"/>
      <c r="U436" s="31"/>
      <c r="AC436" s="31"/>
      <c r="AO436" s="57"/>
    </row>
    <row r="437" spans="6:41">
      <c r="F437" s="31"/>
      <c r="M437" s="31"/>
      <c r="U437" s="31"/>
      <c r="AC437" s="31"/>
      <c r="AO437" s="57"/>
    </row>
    <row r="438" spans="6:41">
      <c r="F438" s="31"/>
      <c r="M438" s="31"/>
      <c r="U438" s="31"/>
      <c r="AC438" s="31"/>
      <c r="AO438" s="57"/>
    </row>
    <row r="439" spans="6:41">
      <c r="F439" s="31"/>
      <c r="M439" s="31"/>
      <c r="U439" s="31"/>
      <c r="AC439" s="31"/>
      <c r="AO439" s="57"/>
    </row>
    <row r="440" spans="6:41">
      <c r="F440" s="31"/>
      <c r="M440" s="31"/>
      <c r="U440" s="31"/>
      <c r="AC440" s="31"/>
      <c r="AO440" s="57"/>
    </row>
    <row r="441" spans="6:41">
      <c r="F441" s="31"/>
      <c r="M441" s="31"/>
      <c r="U441" s="31"/>
      <c r="AC441" s="31"/>
      <c r="AO441" s="57"/>
    </row>
    <row r="442" spans="6:41">
      <c r="F442" s="31"/>
      <c r="M442" s="31"/>
      <c r="U442" s="31"/>
      <c r="AC442" s="31"/>
      <c r="AO442" s="57"/>
    </row>
    <row r="443" spans="6:41">
      <c r="F443" s="31"/>
      <c r="M443" s="31"/>
      <c r="U443" s="31"/>
      <c r="AC443" s="31"/>
      <c r="AO443" s="57"/>
    </row>
    <row r="444" spans="6:41">
      <c r="F444" s="31"/>
      <c r="M444" s="31"/>
      <c r="U444" s="31"/>
      <c r="AC444" s="31"/>
      <c r="AO444" s="57"/>
    </row>
    <row r="445" spans="6:41">
      <c r="F445" s="31"/>
      <c r="M445" s="31"/>
      <c r="U445" s="31"/>
      <c r="AC445" s="31"/>
      <c r="AO445" s="57"/>
    </row>
    <row r="446" spans="6:41">
      <c r="F446" s="31"/>
      <c r="M446" s="31"/>
      <c r="U446" s="31"/>
      <c r="AC446" s="31"/>
      <c r="AO446" s="57"/>
    </row>
    <row r="447" spans="6:41">
      <c r="F447" s="31"/>
      <c r="M447" s="31"/>
      <c r="U447" s="31"/>
      <c r="AC447" s="31"/>
      <c r="AO447" s="57"/>
    </row>
    <row r="448" spans="6:41">
      <c r="F448" s="31"/>
      <c r="M448" s="31"/>
      <c r="U448" s="31"/>
      <c r="AC448" s="31"/>
      <c r="AO448" s="57"/>
    </row>
    <row r="449" spans="6:41">
      <c r="F449" s="31"/>
      <c r="M449" s="31"/>
      <c r="U449" s="31"/>
      <c r="AC449" s="31"/>
      <c r="AO449" s="57"/>
    </row>
    <row r="450" spans="6:41">
      <c r="F450" s="31"/>
      <c r="M450" s="31"/>
      <c r="U450" s="31"/>
      <c r="AC450" s="31"/>
      <c r="AO450" s="57"/>
    </row>
    <row r="451" spans="6:41">
      <c r="F451" s="31"/>
      <c r="M451" s="31"/>
      <c r="U451" s="31"/>
      <c r="AC451" s="31"/>
      <c r="AO451" s="57"/>
    </row>
    <row r="452" spans="6:41">
      <c r="F452" s="31"/>
      <c r="M452" s="31"/>
      <c r="U452" s="31"/>
      <c r="AC452" s="31"/>
      <c r="AO452" s="57"/>
    </row>
    <row r="453" spans="6:41">
      <c r="F453" s="31"/>
      <c r="M453" s="31"/>
      <c r="U453" s="31"/>
      <c r="AC453" s="31"/>
      <c r="AO453" s="57"/>
    </row>
    <row r="454" spans="6:41">
      <c r="F454" s="31"/>
      <c r="M454" s="31"/>
      <c r="U454" s="31"/>
      <c r="AC454" s="31"/>
      <c r="AO454" s="57"/>
    </row>
    <row r="455" spans="6:41">
      <c r="F455" s="31"/>
      <c r="M455" s="31"/>
      <c r="U455" s="31"/>
      <c r="AC455" s="31"/>
      <c r="AO455" s="57"/>
    </row>
    <row r="456" spans="6:41">
      <c r="F456" s="31"/>
      <c r="M456" s="31"/>
      <c r="U456" s="31"/>
      <c r="AC456" s="31"/>
      <c r="AO456" s="57"/>
    </row>
    <row r="457" spans="6:41">
      <c r="F457" s="31"/>
      <c r="M457" s="31"/>
      <c r="U457" s="31"/>
      <c r="AC457" s="31"/>
      <c r="AO457" s="57"/>
    </row>
    <row r="458" spans="6:41">
      <c r="F458" s="31"/>
      <c r="M458" s="31"/>
      <c r="U458" s="31"/>
      <c r="AC458" s="31"/>
      <c r="AO458" s="57"/>
    </row>
    <row r="459" spans="6:41">
      <c r="F459" s="31"/>
      <c r="M459" s="31"/>
      <c r="U459" s="31"/>
      <c r="AC459" s="31"/>
      <c r="AO459" s="57"/>
    </row>
    <row r="460" spans="6:41">
      <c r="F460" s="31"/>
      <c r="M460" s="31"/>
      <c r="U460" s="31"/>
      <c r="AC460" s="31"/>
      <c r="AO460" s="57"/>
    </row>
    <row r="461" spans="6:41">
      <c r="F461" s="31"/>
      <c r="M461" s="31"/>
      <c r="U461" s="31"/>
      <c r="AC461" s="31"/>
      <c r="AO461" s="57"/>
    </row>
    <row r="462" spans="6:41">
      <c r="F462" s="31"/>
      <c r="M462" s="31"/>
      <c r="U462" s="31"/>
      <c r="AC462" s="31"/>
      <c r="AO462" s="57"/>
    </row>
    <row r="463" spans="6:41">
      <c r="F463" s="31"/>
      <c r="M463" s="31"/>
      <c r="U463" s="31"/>
      <c r="AC463" s="31"/>
      <c r="AO463" s="57"/>
    </row>
    <row r="464" spans="6:41">
      <c r="F464" s="31"/>
      <c r="M464" s="31"/>
      <c r="U464" s="31"/>
      <c r="AC464" s="31"/>
      <c r="AO464" s="57"/>
    </row>
    <row r="465" spans="6:41">
      <c r="F465" s="31"/>
      <c r="M465" s="31"/>
      <c r="U465" s="31"/>
      <c r="AC465" s="31"/>
      <c r="AO465" s="57"/>
    </row>
    <row r="466" spans="6:41">
      <c r="F466" s="31"/>
      <c r="M466" s="31"/>
      <c r="U466" s="31"/>
      <c r="AC466" s="31"/>
      <c r="AO466" s="57"/>
    </row>
    <row r="467" spans="6:41">
      <c r="F467" s="31"/>
      <c r="M467" s="31"/>
      <c r="U467" s="31"/>
      <c r="AC467" s="31"/>
      <c r="AO467" s="57"/>
    </row>
    <row r="468" spans="6:41">
      <c r="F468" s="31"/>
      <c r="M468" s="31"/>
      <c r="U468" s="31"/>
      <c r="AC468" s="31"/>
      <c r="AO468" s="57"/>
    </row>
    <row r="469" spans="6:41">
      <c r="F469" s="31"/>
      <c r="M469" s="31"/>
      <c r="U469" s="31"/>
      <c r="AC469" s="31"/>
      <c r="AO469" s="57"/>
    </row>
    <row r="470" spans="6:41">
      <c r="F470" s="31"/>
      <c r="M470" s="31"/>
      <c r="U470" s="31"/>
      <c r="AC470" s="31"/>
      <c r="AO470" s="57"/>
    </row>
    <row r="471" spans="6:41">
      <c r="F471" s="31"/>
      <c r="M471" s="31"/>
      <c r="U471" s="31"/>
      <c r="AC471" s="31"/>
      <c r="AO471" s="57"/>
    </row>
    <row r="472" spans="6:41">
      <c r="F472" s="31"/>
      <c r="M472" s="31"/>
      <c r="U472" s="31"/>
      <c r="AC472" s="31"/>
      <c r="AO472" s="57"/>
    </row>
    <row r="473" spans="6:41">
      <c r="F473" s="31"/>
      <c r="M473" s="31"/>
      <c r="U473" s="31"/>
      <c r="AC473" s="31"/>
      <c r="AO473" s="57"/>
    </row>
    <row r="474" spans="6:41">
      <c r="F474" s="31"/>
      <c r="M474" s="31"/>
      <c r="U474" s="31"/>
      <c r="AC474" s="31"/>
      <c r="AO474" s="57"/>
    </row>
    <row r="475" spans="6:41">
      <c r="F475" s="31"/>
      <c r="M475" s="31"/>
      <c r="U475" s="31"/>
      <c r="AC475" s="31"/>
      <c r="AO475" s="57"/>
    </row>
    <row r="476" spans="6:41">
      <c r="F476" s="31"/>
      <c r="M476" s="31"/>
      <c r="U476" s="31"/>
      <c r="AC476" s="31"/>
      <c r="AO476" s="57"/>
    </row>
    <row r="477" spans="6:41">
      <c r="F477" s="31"/>
      <c r="M477" s="31"/>
      <c r="U477" s="31"/>
      <c r="AC477" s="31"/>
      <c r="AO477" s="57"/>
    </row>
    <row r="478" spans="6:41">
      <c r="F478" s="31"/>
      <c r="M478" s="31"/>
      <c r="U478" s="31"/>
      <c r="AC478" s="31"/>
      <c r="AO478" s="57"/>
    </row>
    <row r="479" spans="6:41">
      <c r="F479" s="31"/>
      <c r="M479" s="31"/>
      <c r="U479" s="31"/>
      <c r="AC479" s="31"/>
      <c r="AO479" s="57"/>
    </row>
    <row r="480" spans="6:41">
      <c r="F480" s="31"/>
      <c r="M480" s="31"/>
      <c r="U480" s="31"/>
      <c r="AC480" s="31"/>
      <c r="AO480" s="57"/>
    </row>
    <row r="481" spans="6:41">
      <c r="F481" s="31"/>
      <c r="M481" s="31"/>
      <c r="U481" s="31"/>
      <c r="AC481" s="31"/>
      <c r="AO481" s="57"/>
    </row>
    <row r="482" spans="6:41">
      <c r="F482" s="31"/>
      <c r="M482" s="31"/>
      <c r="U482" s="31"/>
      <c r="AC482" s="31"/>
      <c r="AO482" s="57"/>
    </row>
    <row r="483" spans="6:41">
      <c r="F483" s="31"/>
      <c r="M483" s="31"/>
      <c r="U483" s="31"/>
      <c r="AC483" s="31"/>
      <c r="AO483" s="57"/>
    </row>
    <row r="484" spans="6:41">
      <c r="F484" s="31"/>
      <c r="M484" s="31"/>
      <c r="U484" s="31"/>
      <c r="AC484" s="31"/>
      <c r="AO484" s="57"/>
    </row>
    <row r="485" spans="6:41">
      <c r="F485" s="31"/>
      <c r="M485" s="31"/>
      <c r="U485" s="31"/>
      <c r="AC485" s="31"/>
      <c r="AO485" s="57"/>
    </row>
    <row r="486" spans="6:41">
      <c r="F486" s="31"/>
      <c r="M486" s="31"/>
      <c r="U486" s="31"/>
      <c r="AC486" s="31"/>
      <c r="AO486" s="57"/>
    </row>
    <row r="487" spans="6:41">
      <c r="F487" s="31"/>
      <c r="M487" s="31"/>
      <c r="U487" s="31"/>
      <c r="AC487" s="31"/>
      <c r="AO487" s="57"/>
    </row>
    <row r="488" spans="6:41">
      <c r="F488" s="31"/>
      <c r="M488" s="31"/>
      <c r="U488" s="31"/>
      <c r="AC488" s="31"/>
      <c r="AO488" s="57"/>
    </row>
    <row r="489" spans="6:41">
      <c r="F489" s="31"/>
      <c r="M489" s="31"/>
      <c r="U489" s="31"/>
      <c r="AC489" s="31"/>
      <c r="AO489" s="57"/>
    </row>
    <row r="490" spans="6:41">
      <c r="F490" s="31"/>
      <c r="M490" s="31"/>
      <c r="U490" s="31"/>
      <c r="AC490" s="31"/>
      <c r="AO490" s="57"/>
    </row>
    <row r="491" spans="6:41">
      <c r="F491" s="31"/>
      <c r="M491" s="31"/>
      <c r="U491" s="31"/>
      <c r="AC491" s="31"/>
      <c r="AO491" s="57"/>
    </row>
    <row r="492" spans="6:41">
      <c r="F492" s="31"/>
      <c r="M492" s="31"/>
      <c r="U492" s="31"/>
      <c r="AC492" s="31"/>
      <c r="AO492" s="57"/>
    </row>
    <row r="493" spans="6:41">
      <c r="F493" s="31"/>
      <c r="M493" s="31"/>
      <c r="U493" s="31"/>
      <c r="AC493" s="31"/>
      <c r="AO493" s="57"/>
    </row>
    <row r="494" spans="6:41">
      <c r="F494" s="31"/>
      <c r="M494" s="31"/>
      <c r="U494" s="31"/>
      <c r="AC494" s="31"/>
      <c r="AO494" s="57"/>
    </row>
    <row r="495" spans="6:41">
      <c r="F495" s="31"/>
      <c r="M495" s="31"/>
      <c r="U495" s="31"/>
      <c r="AC495" s="31"/>
      <c r="AO495" s="57"/>
    </row>
    <row r="496" spans="6:41">
      <c r="F496" s="31"/>
      <c r="M496" s="31"/>
      <c r="U496" s="31"/>
      <c r="AC496" s="31"/>
      <c r="AO496" s="57"/>
    </row>
    <row r="497" spans="6:41">
      <c r="F497" s="31"/>
      <c r="M497" s="31"/>
      <c r="U497" s="31"/>
      <c r="AC497" s="31"/>
      <c r="AO497" s="57"/>
    </row>
    <row r="498" spans="6:41">
      <c r="F498" s="31"/>
      <c r="M498" s="31"/>
      <c r="U498" s="31"/>
      <c r="AC498" s="31"/>
      <c r="AO498" s="57"/>
    </row>
    <row r="499" spans="6:41">
      <c r="F499" s="31"/>
      <c r="M499" s="31"/>
      <c r="U499" s="31"/>
      <c r="AC499" s="31"/>
      <c r="AO499" s="57"/>
    </row>
    <row r="500" spans="6:41">
      <c r="F500" s="31"/>
      <c r="M500" s="31"/>
      <c r="U500" s="31"/>
      <c r="AC500" s="31"/>
      <c r="AO500" s="57"/>
    </row>
    <row r="501" spans="6:41">
      <c r="F501" s="31"/>
      <c r="M501" s="31"/>
      <c r="U501" s="31"/>
      <c r="AC501" s="31"/>
      <c r="AO501" s="57"/>
    </row>
    <row r="502" spans="6:41">
      <c r="F502" s="31"/>
      <c r="M502" s="31"/>
      <c r="U502" s="31"/>
      <c r="AC502" s="31"/>
      <c r="AO502" s="57"/>
    </row>
    <row r="503" spans="6:41">
      <c r="F503" s="31"/>
      <c r="M503" s="31"/>
      <c r="U503" s="31"/>
      <c r="AC503" s="31"/>
      <c r="AO503" s="57"/>
    </row>
    <row r="504" spans="6:41">
      <c r="F504" s="31"/>
      <c r="M504" s="31"/>
      <c r="U504" s="31"/>
      <c r="AC504" s="31"/>
      <c r="AO504" s="57"/>
    </row>
    <row r="505" spans="6:41">
      <c r="F505" s="31"/>
      <c r="M505" s="31"/>
      <c r="U505" s="31"/>
      <c r="AC505" s="31"/>
      <c r="AO505" s="57"/>
    </row>
    <row r="506" spans="6:41">
      <c r="F506" s="31"/>
      <c r="M506" s="31"/>
      <c r="U506" s="31"/>
      <c r="AC506" s="31"/>
      <c r="AO506" s="57"/>
    </row>
    <row r="507" spans="6:41">
      <c r="F507" s="31"/>
      <c r="M507" s="31"/>
      <c r="U507" s="31"/>
      <c r="AC507" s="31"/>
      <c r="AO507" s="57"/>
    </row>
    <row r="508" spans="6:41">
      <c r="F508" s="31"/>
      <c r="M508" s="31"/>
      <c r="U508" s="31"/>
      <c r="AC508" s="31"/>
      <c r="AO508" s="57"/>
    </row>
    <row r="509" spans="6:41">
      <c r="F509" s="31"/>
      <c r="M509" s="31"/>
      <c r="U509" s="31"/>
      <c r="AC509" s="31"/>
      <c r="AO509" s="57"/>
    </row>
    <row r="510" spans="6:41">
      <c r="F510" s="31"/>
      <c r="M510" s="31"/>
      <c r="U510" s="31"/>
      <c r="AC510" s="31"/>
      <c r="AO510" s="57"/>
    </row>
    <row r="511" spans="6:41">
      <c r="F511" s="31"/>
      <c r="M511" s="31"/>
      <c r="U511" s="31"/>
      <c r="AC511" s="31"/>
      <c r="AO511" s="57"/>
    </row>
    <row r="512" spans="6:41">
      <c r="F512" s="31"/>
      <c r="M512" s="31"/>
      <c r="U512" s="31"/>
      <c r="AC512" s="31"/>
      <c r="AO512" s="57"/>
    </row>
    <row r="513" spans="6:41">
      <c r="F513" s="31"/>
      <c r="M513" s="31"/>
      <c r="U513" s="31"/>
      <c r="AC513" s="31"/>
      <c r="AO513" s="57"/>
    </row>
    <row r="514" spans="6:41">
      <c r="F514" s="31"/>
      <c r="M514" s="31"/>
      <c r="U514" s="31"/>
      <c r="AC514" s="31"/>
      <c r="AO514" s="57"/>
    </row>
    <row r="515" spans="6:41">
      <c r="F515" s="31"/>
      <c r="M515" s="31"/>
      <c r="U515" s="31"/>
      <c r="AC515" s="31"/>
      <c r="AO515" s="57"/>
    </row>
    <row r="516" spans="6:41">
      <c r="F516" s="31"/>
      <c r="M516" s="31"/>
      <c r="U516" s="31"/>
      <c r="AC516" s="31"/>
      <c r="AO516" s="57"/>
    </row>
    <row r="517" spans="6:41">
      <c r="F517" s="31"/>
      <c r="M517" s="31"/>
      <c r="U517" s="31"/>
      <c r="AC517" s="31"/>
      <c r="AO517" s="57"/>
    </row>
    <row r="518" spans="6:41">
      <c r="F518" s="31"/>
      <c r="M518" s="31"/>
      <c r="U518" s="31"/>
      <c r="AC518" s="31"/>
      <c r="AO518" s="57"/>
    </row>
    <row r="519" spans="6:41">
      <c r="F519" s="31"/>
      <c r="M519" s="31"/>
      <c r="U519" s="31"/>
      <c r="AC519" s="31"/>
      <c r="AO519" s="57"/>
    </row>
    <row r="520" spans="6:41">
      <c r="F520" s="31"/>
      <c r="M520" s="31"/>
      <c r="U520" s="31"/>
      <c r="AC520" s="31"/>
      <c r="AO520" s="57"/>
    </row>
    <row r="521" spans="6:41">
      <c r="F521" s="31"/>
      <c r="M521" s="31"/>
      <c r="U521" s="31"/>
      <c r="AC521" s="31"/>
      <c r="AO521" s="57"/>
    </row>
    <row r="522" spans="6:41">
      <c r="F522" s="31"/>
      <c r="M522" s="31"/>
      <c r="U522" s="31"/>
      <c r="AC522" s="31"/>
      <c r="AO522" s="57"/>
    </row>
    <row r="523" spans="6:41">
      <c r="F523" s="31"/>
      <c r="M523" s="31"/>
      <c r="U523" s="31"/>
      <c r="AC523" s="31"/>
      <c r="AO523" s="57"/>
    </row>
    <row r="524" spans="6:41">
      <c r="F524" s="31"/>
      <c r="M524" s="31"/>
      <c r="U524" s="31"/>
      <c r="AC524" s="31"/>
      <c r="AO524" s="57"/>
    </row>
    <row r="525" spans="6:41">
      <c r="F525" s="31"/>
      <c r="M525" s="31"/>
      <c r="U525" s="31"/>
      <c r="AC525" s="31"/>
      <c r="AO525" s="57"/>
    </row>
    <row r="526" spans="6:41">
      <c r="F526" s="31"/>
      <c r="M526" s="31"/>
      <c r="U526" s="31"/>
      <c r="AC526" s="31"/>
      <c r="AO526" s="57"/>
    </row>
    <row r="527" spans="6:41">
      <c r="F527" s="31"/>
      <c r="M527" s="31"/>
      <c r="U527" s="31"/>
      <c r="AC527" s="31"/>
      <c r="AO527" s="57"/>
    </row>
    <row r="528" spans="6:41">
      <c r="F528" s="31"/>
      <c r="M528" s="31"/>
      <c r="U528" s="31"/>
      <c r="AC528" s="31"/>
      <c r="AO528" s="57"/>
    </row>
    <row r="529" spans="6:41">
      <c r="F529" s="31"/>
      <c r="M529" s="31"/>
      <c r="U529" s="31"/>
      <c r="AC529" s="31"/>
      <c r="AO529" s="57"/>
    </row>
    <row r="530" spans="6:41">
      <c r="F530" s="31"/>
      <c r="M530" s="31"/>
      <c r="U530" s="31"/>
      <c r="AC530" s="31"/>
      <c r="AO530" s="57"/>
    </row>
    <row r="531" spans="6:41">
      <c r="F531" s="31"/>
      <c r="M531" s="31"/>
      <c r="U531" s="31"/>
      <c r="AC531" s="31"/>
      <c r="AO531" s="57"/>
    </row>
    <row r="532" spans="6:41">
      <c r="F532" s="31"/>
      <c r="M532" s="31"/>
      <c r="U532" s="31"/>
      <c r="AC532" s="31"/>
      <c r="AO532" s="57"/>
    </row>
    <row r="533" spans="6:41">
      <c r="F533" s="31"/>
      <c r="M533" s="31"/>
      <c r="U533" s="31"/>
      <c r="AC533" s="31"/>
      <c r="AO533" s="57"/>
    </row>
    <row r="534" spans="6:41">
      <c r="F534" s="31"/>
      <c r="M534" s="31"/>
      <c r="U534" s="31"/>
      <c r="AC534" s="31"/>
      <c r="AO534" s="57"/>
    </row>
    <row r="535" spans="6:41">
      <c r="F535" s="31"/>
      <c r="M535" s="31"/>
      <c r="U535" s="31"/>
      <c r="AC535" s="31"/>
      <c r="AO535" s="57"/>
    </row>
    <row r="536" spans="6:41">
      <c r="F536" s="31"/>
      <c r="M536" s="31"/>
      <c r="U536" s="31"/>
      <c r="AC536" s="31"/>
      <c r="AO536" s="57"/>
    </row>
    <row r="537" spans="6:41">
      <c r="F537" s="31"/>
      <c r="M537" s="31"/>
      <c r="U537" s="31"/>
      <c r="AC537" s="31"/>
      <c r="AO537" s="57"/>
    </row>
    <row r="538" spans="6:41">
      <c r="F538" s="31"/>
      <c r="M538" s="31"/>
      <c r="U538" s="31"/>
      <c r="AC538" s="31"/>
      <c r="AO538" s="57"/>
    </row>
    <row r="539" spans="6:41">
      <c r="F539" s="31"/>
      <c r="M539" s="31"/>
      <c r="U539" s="31"/>
      <c r="AC539" s="31"/>
      <c r="AO539" s="57"/>
    </row>
    <row r="540" spans="6:41">
      <c r="F540" s="31"/>
      <c r="M540" s="31"/>
      <c r="U540" s="31"/>
      <c r="AC540" s="31"/>
      <c r="AO540" s="57"/>
    </row>
    <row r="541" spans="6:41">
      <c r="F541" s="31"/>
      <c r="M541" s="31"/>
      <c r="U541" s="31"/>
      <c r="AC541" s="31"/>
      <c r="AO541" s="57"/>
    </row>
    <row r="542" spans="6:41">
      <c r="F542" s="31"/>
      <c r="M542" s="31"/>
      <c r="U542" s="31"/>
      <c r="AC542" s="31"/>
      <c r="AO542" s="57"/>
    </row>
    <row r="543" spans="6:41">
      <c r="F543" s="31"/>
      <c r="M543" s="31"/>
      <c r="U543" s="31"/>
      <c r="AC543" s="31"/>
      <c r="AO543" s="57"/>
    </row>
    <row r="544" spans="6:41">
      <c r="F544" s="31"/>
      <c r="M544" s="31"/>
      <c r="U544" s="31"/>
      <c r="AC544" s="31"/>
      <c r="AO544" s="57"/>
    </row>
    <row r="545" spans="6:41">
      <c r="F545" s="31"/>
      <c r="M545" s="31"/>
      <c r="U545" s="31"/>
      <c r="AC545" s="31"/>
      <c r="AO545" s="57"/>
    </row>
    <row r="546" spans="6:41">
      <c r="F546" s="31"/>
      <c r="M546" s="31"/>
      <c r="U546" s="31"/>
      <c r="AC546" s="31"/>
      <c r="AO546" s="57"/>
    </row>
    <row r="547" spans="6:41">
      <c r="F547" s="31"/>
      <c r="M547" s="31"/>
      <c r="U547" s="31"/>
      <c r="AC547" s="31"/>
      <c r="AO547" s="57"/>
    </row>
    <row r="548" spans="6:41">
      <c r="F548" s="31"/>
      <c r="M548" s="31"/>
      <c r="U548" s="31"/>
      <c r="AC548" s="31"/>
      <c r="AO548" s="57"/>
    </row>
    <row r="549" spans="6:41">
      <c r="F549" s="31"/>
      <c r="M549" s="31"/>
      <c r="U549" s="31"/>
      <c r="AC549" s="31"/>
      <c r="AO549" s="57"/>
    </row>
    <row r="550" spans="6:41">
      <c r="F550" s="31"/>
      <c r="M550" s="31"/>
      <c r="U550" s="31"/>
      <c r="AC550" s="31"/>
      <c r="AO550" s="57"/>
    </row>
    <row r="551" spans="6:41">
      <c r="F551" s="31"/>
      <c r="M551" s="31"/>
      <c r="U551" s="31"/>
      <c r="AC551" s="31"/>
      <c r="AO551" s="57"/>
    </row>
    <row r="552" spans="6:41">
      <c r="F552" s="31"/>
      <c r="M552" s="31"/>
      <c r="U552" s="31"/>
      <c r="AC552" s="31"/>
      <c r="AO552" s="57"/>
    </row>
    <row r="553" spans="6:41">
      <c r="F553" s="31"/>
      <c r="M553" s="31"/>
      <c r="U553" s="31"/>
      <c r="AC553" s="31"/>
      <c r="AO553" s="57"/>
    </row>
    <row r="554" spans="6:41">
      <c r="F554" s="31"/>
      <c r="M554" s="31"/>
      <c r="U554" s="31"/>
      <c r="AC554" s="31"/>
      <c r="AO554" s="57"/>
    </row>
    <row r="555" spans="6:41">
      <c r="F555" s="31"/>
      <c r="M555" s="31"/>
      <c r="U555" s="31"/>
      <c r="AC555" s="31"/>
      <c r="AO555" s="57"/>
    </row>
    <row r="556" spans="6:41">
      <c r="F556" s="31"/>
      <c r="M556" s="31"/>
      <c r="U556" s="31"/>
      <c r="AC556" s="31"/>
      <c r="AO556" s="57"/>
    </row>
    <row r="557" spans="6:41">
      <c r="F557" s="31"/>
      <c r="M557" s="31"/>
      <c r="U557" s="31"/>
      <c r="AC557" s="31"/>
      <c r="AO557" s="57"/>
    </row>
    <row r="558" spans="6:41">
      <c r="F558" s="31"/>
      <c r="M558" s="31"/>
      <c r="U558" s="31"/>
      <c r="AC558" s="31"/>
      <c r="AO558" s="57"/>
    </row>
    <row r="559" spans="6:41">
      <c r="F559" s="31"/>
      <c r="M559" s="31"/>
      <c r="U559" s="31"/>
      <c r="AC559" s="31"/>
      <c r="AO559" s="57"/>
    </row>
    <row r="560" spans="6:41">
      <c r="F560" s="31"/>
      <c r="M560" s="31"/>
      <c r="U560" s="31"/>
      <c r="AC560" s="31"/>
      <c r="AO560" s="57"/>
    </row>
    <row r="561" spans="6:41">
      <c r="F561" s="31"/>
      <c r="M561" s="31"/>
      <c r="U561" s="31"/>
      <c r="AC561" s="31"/>
      <c r="AO561" s="57"/>
    </row>
    <row r="562" spans="6:41">
      <c r="F562" s="31"/>
      <c r="M562" s="31"/>
      <c r="U562" s="31"/>
      <c r="AC562" s="31"/>
      <c r="AO562" s="57"/>
    </row>
    <row r="563" spans="6:41">
      <c r="F563" s="31"/>
      <c r="M563" s="31"/>
      <c r="U563" s="31"/>
      <c r="AC563" s="31"/>
      <c r="AO563" s="57"/>
    </row>
    <row r="564" spans="6:41">
      <c r="F564" s="31"/>
      <c r="M564" s="31"/>
      <c r="U564" s="31"/>
      <c r="AC564" s="31"/>
      <c r="AO564" s="57"/>
    </row>
    <row r="565" spans="6:41">
      <c r="F565" s="31"/>
      <c r="M565" s="31"/>
      <c r="U565" s="31"/>
      <c r="AC565" s="31"/>
      <c r="AO565" s="57"/>
    </row>
    <row r="566" spans="6:41">
      <c r="F566" s="31"/>
      <c r="M566" s="31"/>
      <c r="U566" s="31"/>
      <c r="AC566" s="31"/>
      <c r="AO566" s="57"/>
    </row>
    <row r="567" spans="6:41">
      <c r="F567" s="31"/>
      <c r="M567" s="31"/>
      <c r="U567" s="31"/>
      <c r="AC567" s="31"/>
      <c r="AO567" s="57"/>
    </row>
    <row r="568" spans="6:41">
      <c r="F568" s="31"/>
      <c r="M568" s="31"/>
      <c r="U568" s="31"/>
      <c r="AC568" s="31"/>
      <c r="AO568" s="57"/>
    </row>
    <row r="569" spans="6:41">
      <c r="F569" s="31"/>
      <c r="M569" s="31"/>
      <c r="U569" s="31"/>
      <c r="AC569" s="31"/>
      <c r="AO569" s="57"/>
    </row>
    <row r="570" spans="6:41">
      <c r="F570" s="31"/>
      <c r="M570" s="31"/>
      <c r="U570" s="31"/>
      <c r="AC570" s="31"/>
      <c r="AO570" s="57"/>
    </row>
    <row r="571" spans="6:41">
      <c r="F571" s="31"/>
      <c r="M571" s="31"/>
      <c r="U571" s="31"/>
      <c r="AC571" s="31"/>
      <c r="AO571" s="57"/>
    </row>
    <row r="572" spans="6:41">
      <c r="F572" s="31"/>
      <c r="M572" s="31"/>
      <c r="U572" s="31"/>
      <c r="AC572" s="31"/>
      <c r="AO572" s="57"/>
    </row>
    <row r="573" spans="6:41">
      <c r="F573" s="31"/>
      <c r="M573" s="31"/>
      <c r="U573" s="31"/>
      <c r="AC573" s="31"/>
      <c r="AO573" s="57"/>
    </row>
    <row r="574" spans="6:41">
      <c r="F574" s="31"/>
      <c r="M574" s="31"/>
      <c r="U574" s="31"/>
      <c r="AC574" s="31"/>
      <c r="AO574" s="57"/>
    </row>
    <row r="575" spans="6:41">
      <c r="F575" s="31"/>
      <c r="M575" s="31"/>
      <c r="U575" s="31"/>
      <c r="AC575" s="31"/>
      <c r="AO575" s="57"/>
    </row>
    <row r="576" spans="6:41">
      <c r="F576" s="31"/>
      <c r="M576" s="31"/>
      <c r="U576" s="31"/>
      <c r="AC576" s="31"/>
      <c r="AO576" s="57"/>
    </row>
    <row r="577" spans="6:41">
      <c r="F577" s="31"/>
      <c r="M577" s="31"/>
      <c r="U577" s="31"/>
      <c r="AC577" s="31"/>
      <c r="AO577" s="57"/>
    </row>
    <row r="578" spans="6:41">
      <c r="F578" s="31"/>
      <c r="M578" s="31"/>
      <c r="U578" s="31"/>
      <c r="AC578" s="31"/>
      <c r="AO578" s="57"/>
    </row>
    <row r="579" spans="6:41">
      <c r="F579" s="31"/>
      <c r="M579" s="31"/>
      <c r="U579" s="31"/>
      <c r="AC579" s="31"/>
      <c r="AO579" s="57"/>
    </row>
    <row r="580" spans="6:41">
      <c r="F580" s="31"/>
      <c r="M580" s="31"/>
      <c r="U580" s="31"/>
      <c r="AC580" s="31"/>
      <c r="AO580" s="57"/>
    </row>
    <row r="581" spans="6:41">
      <c r="F581" s="31"/>
      <c r="M581" s="31"/>
      <c r="U581" s="31"/>
      <c r="AC581" s="31"/>
      <c r="AO581" s="57"/>
    </row>
    <row r="582" spans="6:41">
      <c r="F582" s="31"/>
      <c r="M582" s="31"/>
      <c r="U582" s="31"/>
      <c r="AC582" s="31"/>
      <c r="AO582" s="57"/>
    </row>
    <row r="583" spans="6:41">
      <c r="F583" s="31"/>
      <c r="M583" s="31"/>
      <c r="U583" s="31"/>
      <c r="AC583" s="31"/>
      <c r="AO583" s="57"/>
    </row>
    <row r="584" spans="6:41">
      <c r="F584" s="31"/>
      <c r="M584" s="31"/>
      <c r="U584" s="31"/>
      <c r="AC584" s="31"/>
      <c r="AO584" s="57"/>
    </row>
    <row r="585" spans="6:41">
      <c r="F585" s="31"/>
      <c r="M585" s="31"/>
      <c r="U585" s="31"/>
      <c r="AC585" s="31"/>
      <c r="AO585" s="57"/>
    </row>
    <row r="586" spans="6:41">
      <c r="F586" s="31"/>
      <c r="M586" s="31"/>
      <c r="U586" s="31"/>
      <c r="AC586" s="31"/>
      <c r="AO586" s="57"/>
    </row>
    <row r="587" spans="6:41">
      <c r="F587" s="31"/>
      <c r="M587" s="31"/>
      <c r="U587" s="31"/>
      <c r="AC587" s="31"/>
      <c r="AO587" s="57"/>
    </row>
    <row r="588" spans="6:41">
      <c r="F588" s="31"/>
      <c r="M588" s="31"/>
      <c r="U588" s="31"/>
      <c r="AC588" s="31"/>
      <c r="AO588" s="57"/>
    </row>
    <row r="589" spans="6:41">
      <c r="F589" s="31"/>
      <c r="M589" s="31"/>
      <c r="U589" s="31"/>
      <c r="AC589" s="31"/>
      <c r="AO589" s="57"/>
    </row>
    <row r="590" spans="6:41">
      <c r="F590" s="31"/>
      <c r="M590" s="31"/>
      <c r="U590" s="31"/>
      <c r="AC590" s="31"/>
      <c r="AO590" s="57"/>
    </row>
    <row r="591" spans="6:41">
      <c r="F591" s="31"/>
      <c r="M591" s="31"/>
      <c r="U591" s="31"/>
      <c r="AC591" s="31"/>
      <c r="AO591" s="57"/>
    </row>
    <row r="592" spans="6:41">
      <c r="F592" s="31"/>
      <c r="M592" s="31"/>
      <c r="U592" s="31"/>
      <c r="AC592" s="31"/>
      <c r="AO592" s="57"/>
    </row>
    <row r="593" spans="6:41">
      <c r="F593" s="31"/>
      <c r="M593" s="31"/>
      <c r="U593" s="31"/>
      <c r="AC593" s="31"/>
      <c r="AO593" s="57"/>
    </row>
    <row r="594" spans="6:41">
      <c r="F594" s="31"/>
      <c r="M594" s="31"/>
      <c r="U594" s="31"/>
      <c r="AC594" s="31"/>
      <c r="AO594" s="57"/>
    </row>
    <row r="595" spans="6:41">
      <c r="F595" s="31"/>
      <c r="M595" s="31"/>
      <c r="U595" s="31"/>
      <c r="AC595" s="31"/>
      <c r="AO595" s="57"/>
    </row>
    <row r="596" spans="6:41">
      <c r="F596" s="31"/>
      <c r="M596" s="31"/>
      <c r="U596" s="31"/>
      <c r="AC596" s="31"/>
      <c r="AO596" s="57"/>
    </row>
    <row r="597" spans="6:41">
      <c r="F597" s="31"/>
      <c r="M597" s="31"/>
      <c r="U597" s="31"/>
      <c r="AC597" s="31"/>
      <c r="AO597" s="57"/>
    </row>
    <row r="598" spans="6:41">
      <c r="F598" s="31"/>
      <c r="M598" s="31"/>
      <c r="U598" s="31"/>
      <c r="AC598" s="31"/>
      <c r="AO598" s="57"/>
    </row>
    <row r="599" spans="6:41">
      <c r="F599" s="31"/>
      <c r="M599" s="31"/>
      <c r="U599" s="31"/>
      <c r="AC599" s="31"/>
      <c r="AO599" s="57"/>
    </row>
    <row r="600" spans="6:41">
      <c r="F600" s="31"/>
      <c r="M600" s="31"/>
      <c r="U600" s="31"/>
      <c r="AC600" s="31"/>
      <c r="AO600" s="57"/>
    </row>
    <row r="601" spans="6:41">
      <c r="F601" s="31"/>
      <c r="M601" s="31"/>
      <c r="U601" s="31"/>
      <c r="AC601" s="31"/>
      <c r="AO601" s="57"/>
    </row>
    <row r="602" spans="6:41">
      <c r="F602" s="31"/>
      <c r="M602" s="31"/>
      <c r="U602" s="31"/>
      <c r="AC602" s="31"/>
      <c r="AO602" s="57"/>
    </row>
    <row r="603" spans="6:41">
      <c r="F603" s="31"/>
      <c r="M603" s="31"/>
      <c r="U603" s="31"/>
      <c r="AC603" s="31"/>
      <c r="AO603" s="57"/>
    </row>
    <row r="604" spans="6:41">
      <c r="F604" s="31"/>
      <c r="M604" s="31"/>
      <c r="U604" s="31"/>
      <c r="AC604" s="31"/>
      <c r="AO604" s="57"/>
    </row>
    <row r="605" spans="6:41">
      <c r="F605" s="31"/>
      <c r="M605" s="31"/>
      <c r="U605" s="31"/>
      <c r="AC605" s="31"/>
      <c r="AO605" s="57"/>
    </row>
    <row r="606" spans="6:41">
      <c r="F606" s="31"/>
      <c r="M606" s="31"/>
      <c r="U606" s="31"/>
      <c r="AC606" s="31"/>
      <c r="AO606" s="57"/>
    </row>
    <row r="607" spans="6:41">
      <c r="F607" s="31"/>
      <c r="M607" s="31"/>
      <c r="U607" s="31"/>
      <c r="AC607" s="31"/>
      <c r="AO607" s="57"/>
    </row>
    <row r="608" spans="6:41">
      <c r="F608" s="31"/>
      <c r="M608" s="31"/>
      <c r="U608" s="31"/>
      <c r="AC608" s="31"/>
      <c r="AO608" s="57"/>
    </row>
    <row r="609" spans="6:41">
      <c r="F609" s="31"/>
      <c r="M609" s="31"/>
      <c r="U609" s="31"/>
      <c r="AC609" s="31"/>
      <c r="AO609" s="57"/>
    </row>
    <row r="610" spans="6:41">
      <c r="F610" s="31"/>
      <c r="M610" s="31"/>
      <c r="U610" s="31"/>
      <c r="AC610" s="31"/>
      <c r="AO610" s="57"/>
    </row>
    <row r="611" spans="6:41">
      <c r="F611" s="31"/>
      <c r="M611" s="31"/>
      <c r="U611" s="31"/>
      <c r="AC611" s="31"/>
      <c r="AO611" s="57"/>
    </row>
    <row r="612" spans="6:41">
      <c r="F612" s="31"/>
      <c r="M612" s="31"/>
      <c r="U612" s="31"/>
      <c r="AC612" s="31"/>
      <c r="AO612" s="57"/>
    </row>
    <row r="613" spans="6:41">
      <c r="F613" s="31"/>
      <c r="M613" s="31"/>
      <c r="U613" s="31"/>
      <c r="AC613" s="31"/>
      <c r="AO613" s="57"/>
    </row>
    <row r="614" spans="6:41">
      <c r="F614" s="31"/>
      <c r="M614" s="31"/>
      <c r="U614" s="31"/>
      <c r="AC614" s="31"/>
      <c r="AO614" s="57"/>
    </row>
    <row r="615" spans="6:41">
      <c r="F615" s="31"/>
      <c r="M615" s="31"/>
      <c r="U615" s="31"/>
      <c r="AC615" s="31"/>
      <c r="AO615" s="57"/>
    </row>
    <row r="616" spans="6:41">
      <c r="F616" s="31"/>
      <c r="M616" s="31"/>
      <c r="U616" s="31"/>
      <c r="AC616" s="31"/>
      <c r="AO616" s="57"/>
    </row>
    <row r="617" spans="6:41">
      <c r="F617" s="31"/>
      <c r="M617" s="31"/>
      <c r="U617" s="31"/>
      <c r="AC617" s="31"/>
      <c r="AO617" s="57"/>
    </row>
    <row r="618" spans="6:41">
      <c r="F618" s="31"/>
      <c r="M618" s="31"/>
      <c r="U618" s="31"/>
      <c r="AC618" s="31"/>
      <c r="AO618" s="57"/>
    </row>
    <row r="619" spans="6:41">
      <c r="F619" s="31"/>
      <c r="M619" s="31"/>
      <c r="U619" s="31"/>
      <c r="AC619" s="31"/>
      <c r="AO619" s="57"/>
    </row>
    <row r="620" spans="6:41">
      <c r="F620" s="31"/>
      <c r="M620" s="31"/>
      <c r="U620" s="31"/>
      <c r="AC620" s="31"/>
      <c r="AO620" s="57"/>
    </row>
    <row r="621" spans="6:41">
      <c r="F621" s="31"/>
      <c r="M621" s="31"/>
      <c r="U621" s="31"/>
      <c r="AC621" s="31"/>
      <c r="AO621" s="57"/>
    </row>
    <row r="622" spans="6:41">
      <c r="F622" s="31"/>
      <c r="M622" s="31"/>
      <c r="U622" s="31"/>
      <c r="AC622" s="31"/>
      <c r="AO622" s="57"/>
    </row>
    <row r="623" spans="6:41">
      <c r="F623" s="31"/>
      <c r="M623" s="31"/>
      <c r="U623" s="31"/>
      <c r="AC623" s="31"/>
      <c r="AO623" s="57"/>
    </row>
    <row r="624" spans="6:41">
      <c r="F624" s="31"/>
      <c r="M624" s="31"/>
      <c r="U624" s="31"/>
      <c r="AC624" s="31"/>
      <c r="AO624" s="57"/>
    </row>
    <row r="625" spans="6:41">
      <c r="F625" s="31"/>
      <c r="M625" s="31"/>
      <c r="U625" s="31"/>
      <c r="AC625" s="31"/>
      <c r="AO625" s="57"/>
    </row>
    <row r="626" spans="6:41">
      <c r="F626" s="31"/>
      <c r="M626" s="31"/>
      <c r="U626" s="31"/>
      <c r="AC626" s="31"/>
      <c r="AO626" s="57"/>
    </row>
    <row r="627" spans="6:41">
      <c r="F627" s="31"/>
      <c r="M627" s="31"/>
      <c r="U627" s="31"/>
      <c r="AC627" s="31"/>
      <c r="AO627" s="57"/>
    </row>
    <row r="628" spans="6:41">
      <c r="F628" s="31"/>
      <c r="M628" s="31"/>
      <c r="U628" s="31"/>
      <c r="AC628" s="31"/>
      <c r="AO628" s="57"/>
    </row>
    <row r="629" spans="6:41">
      <c r="F629" s="31"/>
      <c r="M629" s="31"/>
      <c r="U629" s="31"/>
      <c r="AC629" s="31"/>
      <c r="AO629" s="57"/>
    </row>
    <row r="630" spans="6:41">
      <c r="F630" s="31"/>
      <c r="M630" s="31"/>
      <c r="U630" s="31"/>
      <c r="AC630" s="31"/>
      <c r="AO630" s="57"/>
    </row>
    <row r="631" spans="6:41">
      <c r="F631" s="31"/>
      <c r="M631" s="31"/>
      <c r="U631" s="31"/>
      <c r="AC631" s="31"/>
      <c r="AO631" s="57"/>
    </row>
    <row r="632" spans="6:41">
      <c r="F632" s="31"/>
      <c r="M632" s="31"/>
      <c r="U632" s="31"/>
      <c r="AC632" s="31"/>
      <c r="AO632" s="57"/>
    </row>
    <row r="633" spans="6:41">
      <c r="F633" s="31"/>
      <c r="M633" s="31"/>
      <c r="U633" s="31"/>
      <c r="AC633" s="31"/>
      <c r="AO633" s="57"/>
    </row>
    <row r="634" spans="6:41">
      <c r="F634" s="31"/>
      <c r="M634" s="31"/>
      <c r="U634" s="31"/>
      <c r="AC634" s="31"/>
      <c r="AO634" s="57"/>
    </row>
    <row r="635" spans="6:41">
      <c r="F635" s="31"/>
      <c r="M635" s="31"/>
      <c r="U635" s="31"/>
      <c r="AC635" s="31"/>
      <c r="AO635" s="57"/>
    </row>
    <row r="636" spans="6:41">
      <c r="F636" s="31"/>
      <c r="M636" s="31"/>
      <c r="U636" s="31"/>
      <c r="AC636" s="31"/>
      <c r="AO636" s="57"/>
    </row>
    <row r="637" spans="6:41">
      <c r="F637" s="31"/>
      <c r="M637" s="31"/>
      <c r="U637" s="31"/>
      <c r="AC637" s="31"/>
      <c r="AO637" s="57"/>
    </row>
    <row r="638" spans="6:41">
      <c r="F638" s="31"/>
      <c r="M638" s="31"/>
      <c r="U638" s="31"/>
      <c r="AC638" s="31"/>
      <c r="AO638" s="57"/>
    </row>
    <row r="639" spans="6:41">
      <c r="F639" s="31"/>
      <c r="M639" s="31"/>
      <c r="U639" s="31"/>
      <c r="AC639" s="31"/>
      <c r="AO639" s="57"/>
    </row>
    <row r="640" spans="6:41">
      <c r="F640" s="31"/>
      <c r="M640" s="31"/>
      <c r="U640" s="31"/>
      <c r="AC640" s="31"/>
      <c r="AO640" s="57"/>
    </row>
    <row r="641" spans="6:41">
      <c r="F641" s="31"/>
      <c r="M641" s="31"/>
      <c r="U641" s="31"/>
      <c r="AC641" s="31"/>
      <c r="AO641" s="57"/>
    </row>
    <row r="642" spans="6:41">
      <c r="F642" s="31"/>
      <c r="M642" s="31"/>
      <c r="U642" s="31"/>
      <c r="AC642" s="31"/>
      <c r="AO642" s="57"/>
    </row>
    <row r="643" spans="6:41">
      <c r="F643" s="31"/>
      <c r="M643" s="31"/>
      <c r="U643" s="31"/>
      <c r="AC643" s="31"/>
      <c r="AO643" s="57"/>
    </row>
    <row r="644" spans="6:41">
      <c r="F644" s="31"/>
      <c r="M644" s="31"/>
      <c r="U644" s="31"/>
      <c r="AC644" s="31"/>
      <c r="AO644" s="57"/>
    </row>
    <row r="645" spans="6:41">
      <c r="F645" s="31"/>
      <c r="M645" s="31"/>
      <c r="U645" s="31"/>
      <c r="AC645" s="31"/>
      <c r="AO645" s="57"/>
    </row>
    <row r="646" spans="6:41">
      <c r="F646" s="31"/>
      <c r="M646" s="31"/>
      <c r="U646" s="31"/>
      <c r="AC646" s="31"/>
      <c r="AO646" s="57"/>
    </row>
    <row r="647" spans="6:41">
      <c r="F647" s="31"/>
      <c r="M647" s="31"/>
      <c r="U647" s="31"/>
      <c r="AC647" s="31"/>
      <c r="AO647" s="57"/>
    </row>
    <row r="648" spans="6:41">
      <c r="F648" s="31"/>
      <c r="M648" s="31"/>
      <c r="U648" s="31"/>
      <c r="AC648" s="31"/>
      <c r="AO648" s="57"/>
    </row>
    <row r="649" spans="6:41">
      <c r="F649" s="31"/>
      <c r="M649" s="31"/>
      <c r="U649" s="31"/>
      <c r="AC649" s="31"/>
      <c r="AO649" s="57"/>
    </row>
    <row r="650" spans="6:41">
      <c r="F650" s="31"/>
      <c r="M650" s="31"/>
      <c r="U650" s="31"/>
      <c r="AC650" s="31"/>
      <c r="AO650" s="57"/>
    </row>
    <row r="651" spans="6:41">
      <c r="F651" s="31"/>
      <c r="M651" s="31"/>
      <c r="U651" s="31"/>
      <c r="AC651" s="31"/>
      <c r="AO651" s="57"/>
    </row>
    <row r="652" spans="6:41">
      <c r="F652" s="31"/>
      <c r="M652" s="31"/>
      <c r="U652" s="31"/>
      <c r="AC652" s="31"/>
      <c r="AO652" s="57"/>
    </row>
    <row r="653" spans="6:41">
      <c r="F653" s="31"/>
      <c r="M653" s="31"/>
      <c r="U653" s="31"/>
      <c r="AC653" s="31"/>
      <c r="AO653" s="57"/>
    </row>
    <row r="654" spans="6:41">
      <c r="F654" s="31"/>
      <c r="M654" s="31"/>
      <c r="U654" s="31"/>
      <c r="AC654" s="31"/>
      <c r="AO654" s="57"/>
    </row>
    <row r="655" spans="6:41">
      <c r="F655" s="31"/>
      <c r="M655" s="31"/>
      <c r="U655" s="31"/>
      <c r="AC655" s="31"/>
      <c r="AO655" s="57"/>
    </row>
    <row r="656" spans="6:41">
      <c r="F656" s="31"/>
      <c r="M656" s="31"/>
      <c r="U656" s="31"/>
      <c r="AC656" s="31"/>
      <c r="AO656" s="57"/>
    </row>
    <row r="657" spans="6:41">
      <c r="F657" s="31"/>
      <c r="M657" s="31"/>
      <c r="U657" s="31"/>
      <c r="AC657" s="31"/>
      <c r="AO657" s="57"/>
    </row>
    <row r="658" spans="6:41">
      <c r="F658" s="31"/>
      <c r="M658" s="31"/>
      <c r="U658" s="31"/>
      <c r="AC658" s="31"/>
      <c r="AO658" s="57"/>
    </row>
    <row r="659" spans="6:41">
      <c r="F659" s="31"/>
      <c r="M659" s="31"/>
      <c r="U659" s="31"/>
      <c r="AC659" s="31"/>
      <c r="AO659" s="57"/>
    </row>
    <row r="660" spans="6:41">
      <c r="F660" s="31"/>
      <c r="M660" s="31"/>
      <c r="U660" s="31"/>
      <c r="AC660" s="31"/>
      <c r="AO660" s="57"/>
    </row>
    <row r="661" spans="6:41">
      <c r="F661" s="31"/>
      <c r="M661" s="31"/>
      <c r="U661" s="31"/>
      <c r="AC661" s="31"/>
      <c r="AO661" s="57"/>
    </row>
    <row r="662" spans="6:41">
      <c r="F662" s="31"/>
      <c r="M662" s="31"/>
      <c r="U662" s="31"/>
      <c r="AC662" s="31"/>
      <c r="AO662" s="57"/>
    </row>
    <row r="663" spans="6:41">
      <c r="F663" s="31"/>
      <c r="M663" s="31"/>
      <c r="U663" s="31"/>
      <c r="AC663" s="31"/>
      <c r="AO663" s="57"/>
    </row>
    <row r="664" spans="6:41">
      <c r="F664" s="31"/>
      <c r="M664" s="31"/>
      <c r="U664" s="31"/>
      <c r="AC664" s="31"/>
      <c r="AO664" s="57"/>
    </row>
    <row r="665" spans="6:41">
      <c r="F665" s="31"/>
      <c r="M665" s="31"/>
      <c r="U665" s="31"/>
      <c r="AC665" s="31"/>
      <c r="AO665" s="57"/>
    </row>
    <row r="666" spans="6:41">
      <c r="F666" s="31"/>
      <c r="M666" s="31"/>
      <c r="U666" s="31"/>
      <c r="AC666" s="31"/>
      <c r="AO666" s="57"/>
    </row>
    <row r="667" spans="6:41">
      <c r="F667" s="31"/>
      <c r="M667" s="31"/>
      <c r="U667" s="31"/>
      <c r="AC667" s="31"/>
      <c r="AO667" s="57"/>
    </row>
    <row r="668" spans="6:41">
      <c r="F668" s="31"/>
      <c r="M668" s="31"/>
      <c r="U668" s="31"/>
      <c r="AC668" s="31"/>
      <c r="AO668" s="57"/>
    </row>
    <row r="669" spans="6:41">
      <c r="F669" s="31"/>
      <c r="M669" s="31"/>
      <c r="U669" s="31"/>
      <c r="AC669" s="31"/>
      <c r="AO669" s="57"/>
    </row>
    <row r="670" spans="6:41">
      <c r="F670" s="31"/>
      <c r="M670" s="31"/>
      <c r="U670" s="31"/>
      <c r="AC670" s="31"/>
      <c r="AO670" s="57"/>
    </row>
    <row r="671" spans="6:41">
      <c r="F671" s="31"/>
      <c r="M671" s="31"/>
      <c r="U671" s="31"/>
      <c r="AC671" s="31"/>
      <c r="AO671" s="57"/>
    </row>
    <row r="672" spans="6:41">
      <c r="F672" s="31"/>
      <c r="M672" s="31"/>
      <c r="U672" s="31"/>
      <c r="AC672" s="31"/>
      <c r="AO672" s="57"/>
    </row>
    <row r="673" spans="6:41">
      <c r="F673" s="31"/>
      <c r="M673" s="31"/>
      <c r="U673" s="31"/>
      <c r="AC673" s="31"/>
      <c r="AO673" s="57"/>
    </row>
    <row r="674" spans="6:41">
      <c r="F674" s="31"/>
      <c r="M674" s="31"/>
      <c r="U674" s="31"/>
      <c r="AC674" s="31"/>
      <c r="AO674" s="57"/>
    </row>
    <row r="675" spans="6:41">
      <c r="F675" s="31"/>
      <c r="M675" s="31"/>
      <c r="U675" s="31"/>
      <c r="AC675" s="31"/>
      <c r="AO675" s="57"/>
    </row>
    <row r="676" spans="6:41">
      <c r="F676" s="31"/>
      <c r="M676" s="31"/>
      <c r="U676" s="31"/>
      <c r="AC676" s="31"/>
      <c r="AO676" s="57"/>
    </row>
    <row r="677" spans="6:41">
      <c r="F677" s="31"/>
      <c r="M677" s="31"/>
      <c r="U677" s="31"/>
      <c r="AC677" s="31"/>
      <c r="AO677" s="57"/>
    </row>
    <row r="678" spans="6:41">
      <c r="F678" s="31"/>
      <c r="M678" s="31"/>
      <c r="U678" s="31"/>
      <c r="AC678" s="31"/>
      <c r="AO678" s="57"/>
    </row>
    <row r="679" spans="6:41">
      <c r="F679" s="31"/>
      <c r="M679" s="31"/>
      <c r="U679" s="31"/>
      <c r="AC679" s="31"/>
      <c r="AO679" s="57"/>
    </row>
    <row r="680" spans="6:41">
      <c r="F680" s="31"/>
      <c r="M680" s="31"/>
      <c r="U680" s="31"/>
      <c r="AC680" s="31"/>
      <c r="AO680" s="57"/>
    </row>
    <row r="681" spans="6:41">
      <c r="F681" s="31"/>
      <c r="M681" s="31"/>
      <c r="U681" s="31"/>
      <c r="AC681" s="31"/>
      <c r="AO681" s="57"/>
    </row>
    <row r="682" spans="6:41">
      <c r="F682" s="31"/>
      <c r="M682" s="31"/>
      <c r="U682" s="31"/>
      <c r="AC682" s="31"/>
      <c r="AO682" s="57"/>
    </row>
    <row r="683" spans="6:41">
      <c r="F683" s="31"/>
      <c r="M683" s="31"/>
      <c r="U683" s="31"/>
      <c r="AC683" s="31"/>
      <c r="AO683" s="57"/>
    </row>
    <row r="684" spans="6:41">
      <c r="F684" s="31"/>
      <c r="M684" s="31"/>
      <c r="U684" s="31"/>
      <c r="AC684" s="31"/>
      <c r="AO684" s="57"/>
    </row>
    <row r="685" spans="6:41">
      <c r="F685" s="31"/>
      <c r="M685" s="31"/>
      <c r="U685" s="31"/>
      <c r="AC685" s="31"/>
      <c r="AO685" s="57"/>
    </row>
    <row r="686" spans="6:41">
      <c r="F686" s="31"/>
      <c r="M686" s="31"/>
      <c r="U686" s="31"/>
      <c r="AC686" s="31"/>
      <c r="AO686" s="57"/>
    </row>
    <row r="687" spans="6:41">
      <c r="F687" s="31"/>
      <c r="M687" s="31"/>
      <c r="U687" s="31"/>
      <c r="AC687" s="31"/>
      <c r="AO687" s="57"/>
    </row>
    <row r="688" spans="6:41">
      <c r="F688" s="31"/>
      <c r="M688" s="31"/>
      <c r="U688" s="31"/>
      <c r="AC688" s="31"/>
      <c r="AO688" s="57"/>
    </row>
    <row r="689" spans="6:41">
      <c r="F689" s="31"/>
      <c r="M689" s="31"/>
      <c r="U689" s="31"/>
      <c r="AC689" s="31"/>
      <c r="AO689" s="57"/>
    </row>
    <row r="690" spans="6:41">
      <c r="F690" s="31"/>
      <c r="M690" s="31"/>
      <c r="U690" s="31"/>
      <c r="AC690" s="31"/>
      <c r="AO690" s="57"/>
    </row>
    <row r="691" spans="6:41">
      <c r="F691" s="31"/>
      <c r="M691" s="31"/>
      <c r="U691" s="31"/>
      <c r="AC691" s="31"/>
      <c r="AO691" s="57"/>
    </row>
    <row r="692" spans="6:41">
      <c r="F692" s="31"/>
      <c r="M692" s="31"/>
      <c r="U692" s="31"/>
      <c r="AC692" s="31"/>
      <c r="AO692" s="57"/>
    </row>
    <row r="693" spans="6:41">
      <c r="F693" s="31"/>
      <c r="M693" s="31"/>
      <c r="U693" s="31"/>
      <c r="AC693" s="31"/>
      <c r="AO693" s="57"/>
    </row>
    <row r="694" spans="6:41">
      <c r="F694" s="31"/>
      <c r="M694" s="31"/>
      <c r="U694" s="31"/>
      <c r="AC694" s="31"/>
      <c r="AO694" s="57"/>
    </row>
    <row r="695" spans="6:41">
      <c r="F695" s="31"/>
      <c r="M695" s="31"/>
      <c r="U695" s="31"/>
      <c r="AC695" s="31"/>
      <c r="AO695" s="57"/>
    </row>
    <row r="696" spans="6:41">
      <c r="F696" s="31"/>
      <c r="M696" s="31"/>
      <c r="U696" s="31"/>
      <c r="AC696" s="31"/>
      <c r="AO696" s="57"/>
    </row>
    <row r="697" spans="6:41">
      <c r="F697" s="31"/>
      <c r="M697" s="31"/>
      <c r="U697" s="31"/>
      <c r="AC697" s="31"/>
      <c r="AO697" s="57"/>
    </row>
    <row r="698" spans="6:41">
      <c r="F698" s="31"/>
      <c r="M698" s="31"/>
      <c r="U698" s="31"/>
      <c r="AC698" s="31"/>
      <c r="AO698" s="57"/>
    </row>
    <row r="699" spans="6:41">
      <c r="F699" s="31"/>
      <c r="M699" s="31"/>
      <c r="U699" s="31"/>
      <c r="AC699" s="31"/>
      <c r="AO699" s="57"/>
    </row>
    <row r="700" spans="6:41">
      <c r="F700" s="31"/>
      <c r="M700" s="31"/>
      <c r="U700" s="31"/>
      <c r="AC700" s="31"/>
      <c r="AO700" s="57"/>
    </row>
    <row r="701" spans="6:41">
      <c r="F701" s="31"/>
      <c r="M701" s="31"/>
      <c r="U701" s="31"/>
      <c r="AC701" s="31"/>
      <c r="AO701" s="57"/>
    </row>
    <row r="702" spans="6:41">
      <c r="F702" s="31"/>
      <c r="M702" s="31"/>
      <c r="U702" s="31"/>
      <c r="AC702" s="31"/>
      <c r="AO702" s="57"/>
    </row>
    <row r="703" spans="6:41">
      <c r="F703" s="31"/>
      <c r="M703" s="31"/>
      <c r="U703" s="31"/>
      <c r="AC703" s="31"/>
      <c r="AO703" s="57"/>
    </row>
    <row r="704" spans="6:41">
      <c r="F704" s="31"/>
      <c r="M704" s="31"/>
      <c r="U704" s="31"/>
      <c r="AC704" s="31"/>
      <c r="AO704" s="57"/>
    </row>
    <row r="705" spans="6:41">
      <c r="F705" s="31"/>
      <c r="M705" s="31"/>
      <c r="U705" s="31"/>
      <c r="AC705" s="31"/>
      <c r="AO705" s="57"/>
    </row>
    <row r="706" spans="6:41">
      <c r="F706" s="31"/>
      <c r="M706" s="31"/>
      <c r="U706" s="31"/>
      <c r="AC706" s="31"/>
      <c r="AO706" s="57"/>
    </row>
    <row r="707" spans="6:41">
      <c r="F707" s="31"/>
      <c r="M707" s="31"/>
      <c r="U707" s="31"/>
      <c r="AC707" s="31"/>
      <c r="AO707" s="57"/>
    </row>
    <row r="708" spans="6:41">
      <c r="F708" s="31"/>
      <c r="M708" s="31"/>
      <c r="U708" s="31"/>
      <c r="AC708" s="31"/>
      <c r="AO708" s="57"/>
    </row>
    <row r="709" spans="6:41">
      <c r="F709" s="31"/>
      <c r="M709" s="31"/>
      <c r="U709" s="31"/>
      <c r="AC709" s="31"/>
      <c r="AO709" s="57"/>
    </row>
    <row r="710" spans="6:41">
      <c r="F710" s="31"/>
      <c r="M710" s="31"/>
      <c r="U710" s="31"/>
      <c r="AC710" s="31"/>
      <c r="AO710" s="57"/>
    </row>
    <row r="711" spans="6:41">
      <c r="F711" s="31"/>
      <c r="M711" s="31"/>
      <c r="U711" s="31"/>
      <c r="AC711" s="31"/>
      <c r="AO711" s="57"/>
    </row>
    <row r="712" spans="6:41">
      <c r="F712" s="31"/>
      <c r="M712" s="31"/>
      <c r="U712" s="31"/>
      <c r="AC712" s="31"/>
      <c r="AO712" s="57"/>
    </row>
    <row r="713" spans="6:41">
      <c r="F713" s="31"/>
      <c r="M713" s="31"/>
      <c r="U713" s="31"/>
      <c r="AC713" s="31"/>
      <c r="AO713" s="57"/>
    </row>
    <row r="714" spans="6:41">
      <c r="F714" s="31"/>
      <c r="M714" s="31"/>
      <c r="U714" s="31"/>
      <c r="AC714" s="31"/>
      <c r="AO714" s="57"/>
    </row>
    <row r="715" spans="6:41">
      <c r="F715" s="31"/>
      <c r="M715" s="31"/>
      <c r="U715" s="31"/>
      <c r="AC715" s="31"/>
      <c r="AO715" s="57"/>
    </row>
    <row r="716" spans="6:41">
      <c r="F716" s="31"/>
      <c r="M716" s="31"/>
      <c r="U716" s="31"/>
      <c r="AC716" s="31"/>
      <c r="AO716" s="57"/>
    </row>
    <row r="717" spans="6:41">
      <c r="F717" s="31"/>
      <c r="M717" s="31"/>
      <c r="U717" s="31"/>
      <c r="AC717" s="31"/>
      <c r="AO717" s="57"/>
    </row>
    <row r="718" spans="6:41">
      <c r="F718" s="31"/>
      <c r="M718" s="31"/>
      <c r="U718" s="31"/>
      <c r="AC718" s="31"/>
      <c r="AO718" s="57"/>
    </row>
    <row r="719" spans="6:41">
      <c r="F719" s="31"/>
      <c r="M719" s="31"/>
      <c r="U719" s="31"/>
      <c r="AC719" s="31"/>
      <c r="AO719" s="57"/>
    </row>
    <row r="720" spans="6:41">
      <c r="F720" s="31"/>
      <c r="M720" s="31"/>
      <c r="U720" s="31"/>
      <c r="AC720" s="31"/>
      <c r="AO720" s="57"/>
    </row>
    <row r="721" spans="6:41">
      <c r="F721" s="31"/>
      <c r="M721" s="31"/>
      <c r="U721" s="31"/>
      <c r="AC721" s="31"/>
      <c r="AO721" s="57"/>
    </row>
    <row r="722" spans="6:41">
      <c r="F722" s="31"/>
      <c r="M722" s="31"/>
      <c r="U722" s="31"/>
      <c r="AC722" s="31"/>
      <c r="AO722" s="57"/>
    </row>
    <row r="723" spans="6:41">
      <c r="F723" s="31"/>
      <c r="M723" s="31"/>
      <c r="U723" s="31"/>
      <c r="AC723" s="31"/>
      <c r="AO723" s="57"/>
    </row>
    <row r="724" spans="6:41">
      <c r="F724" s="31"/>
      <c r="M724" s="31"/>
      <c r="U724" s="31"/>
      <c r="AC724" s="31"/>
      <c r="AO724" s="57"/>
    </row>
    <row r="725" spans="6:41">
      <c r="F725" s="31"/>
      <c r="M725" s="31"/>
      <c r="U725" s="31"/>
      <c r="AC725" s="31"/>
      <c r="AO725" s="57"/>
    </row>
    <row r="726" spans="6:41">
      <c r="F726" s="31"/>
      <c r="M726" s="31"/>
      <c r="U726" s="31"/>
      <c r="AC726" s="31"/>
      <c r="AO726" s="57"/>
    </row>
    <row r="727" spans="6:41">
      <c r="F727" s="31"/>
      <c r="M727" s="31"/>
      <c r="U727" s="31"/>
      <c r="AC727" s="31"/>
      <c r="AO727" s="57"/>
    </row>
    <row r="728" spans="6:41">
      <c r="F728" s="31"/>
      <c r="M728" s="31"/>
      <c r="U728" s="31"/>
      <c r="AC728" s="31"/>
      <c r="AO728" s="57"/>
    </row>
    <row r="729" spans="6:41">
      <c r="F729" s="31"/>
      <c r="M729" s="31"/>
      <c r="U729" s="31"/>
      <c r="AC729" s="31"/>
      <c r="AO729" s="57"/>
    </row>
    <row r="730" spans="6:41">
      <c r="F730" s="31"/>
      <c r="M730" s="31"/>
      <c r="U730" s="31"/>
      <c r="AC730" s="31"/>
      <c r="AO730" s="57"/>
    </row>
    <row r="731" spans="6:41">
      <c r="F731" s="31"/>
      <c r="M731" s="31"/>
      <c r="U731" s="31"/>
      <c r="AC731" s="31"/>
      <c r="AO731" s="57"/>
    </row>
    <row r="732" spans="6:41">
      <c r="F732" s="31"/>
      <c r="M732" s="31"/>
      <c r="U732" s="31"/>
      <c r="AC732" s="31"/>
      <c r="AO732" s="57"/>
    </row>
    <row r="733" spans="6:41">
      <c r="F733" s="31"/>
      <c r="M733" s="31"/>
      <c r="U733" s="31"/>
      <c r="AC733" s="31"/>
      <c r="AO733" s="57"/>
    </row>
    <row r="734" spans="6:41">
      <c r="F734" s="31"/>
      <c r="M734" s="31"/>
      <c r="U734" s="31"/>
      <c r="AC734" s="31"/>
      <c r="AO734" s="57"/>
    </row>
    <row r="735" spans="6:41">
      <c r="F735" s="31"/>
      <c r="M735" s="31"/>
      <c r="U735" s="31"/>
      <c r="AC735" s="31"/>
      <c r="AO735" s="57"/>
    </row>
    <row r="736" spans="6:41">
      <c r="F736" s="31"/>
      <c r="M736" s="31"/>
      <c r="U736" s="31"/>
      <c r="AC736" s="31"/>
      <c r="AO736" s="57"/>
    </row>
    <row r="737" spans="6:41">
      <c r="F737" s="31"/>
      <c r="M737" s="31"/>
      <c r="U737" s="31"/>
      <c r="AC737" s="31"/>
      <c r="AO737" s="57"/>
    </row>
    <row r="738" spans="6:41">
      <c r="F738" s="31"/>
      <c r="M738" s="31"/>
      <c r="U738" s="31"/>
      <c r="AC738" s="31"/>
      <c r="AO738" s="57"/>
    </row>
    <row r="739" spans="6:41">
      <c r="F739" s="31"/>
      <c r="M739" s="31"/>
      <c r="U739" s="31"/>
      <c r="AC739" s="31"/>
      <c r="AO739" s="57"/>
    </row>
    <row r="740" spans="6:41">
      <c r="F740" s="31"/>
      <c r="M740" s="31"/>
      <c r="U740" s="31"/>
      <c r="AC740" s="31"/>
      <c r="AO740" s="57"/>
    </row>
    <row r="741" spans="6:41">
      <c r="F741" s="31"/>
      <c r="M741" s="31"/>
      <c r="U741" s="31"/>
      <c r="AC741" s="31"/>
      <c r="AO741" s="57"/>
    </row>
    <row r="742" spans="6:41">
      <c r="F742" s="31"/>
      <c r="M742" s="31"/>
      <c r="U742" s="31"/>
      <c r="AC742" s="31"/>
      <c r="AO742" s="57"/>
    </row>
    <row r="743" spans="6:41">
      <c r="F743" s="31"/>
      <c r="M743" s="31"/>
      <c r="U743" s="31"/>
      <c r="AC743" s="31"/>
      <c r="AO743" s="57"/>
    </row>
    <row r="744" spans="6:41">
      <c r="F744" s="31"/>
      <c r="M744" s="31"/>
      <c r="U744" s="31"/>
      <c r="AC744" s="31"/>
      <c r="AO744" s="57"/>
    </row>
    <row r="745" spans="6:41">
      <c r="F745" s="31"/>
      <c r="M745" s="31"/>
      <c r="U745" s="31"/>
      <c r="AC745" s="31"/>
      <c r="AO745" s="57"/>
    </row>
    <row r="746" spans="6:41">
      <c r="F746" s="31"/>
      <c r="M746" s="31"/>
      <c r="U746" s="31"/>
      <c r="AC746" s="31"/>
      <c r="AO746" s="57"/>
    </row>
    <row r="747" spans="6:41">
      <c r="F747" s="31"/>
      <c r="M747" s="31"/>
      <c r="U747" s="31"/>
      <c r="AC747" s="31"/>
      <c r="AO747" s="57"/>
    </row>
    <row r="748" spans="6:41">
      <c r="F748" s="31"/>
      <c r="M748" s="31"/>
      <c r="U748" s="31"/>
      <c r="AC748" s="31"/>
      <c r="AO748" s="57"/>
    </row>
    <row r="749" spans="6:41">
      <c r="F749" s="31"/>
      <c r="M749" s="31"/>
      <c r="U749" s="31"/>
      <c r="AC749" s="31"/>
      <c r="AO749" s="57"/>
    </row>
    <row r="750" spans="6:41">
      <c r="F750" s="31"/>
      <c r="M750" s="31"/>
      <c r="U750" s="31"/>
      <c r="AC750" s="31"/>
      <c r="AO750" s="57"/>
    </row>
    <row r="751" spans="6:41">
      <c r="F751" s="31"/>
      <c r="M751" s="31"/>
      <c r="U751" s="31"/>
      <c r="AC751" s="31"/>
      <c r="AO751" s="57"/>
    </row>
    <row r="752" spans="6:41">
      <c r="F752" s="31"/>
      <c r="M752" s="31"/>
      <c r="U752" s="31"/>
      <c r="AC752" s="31"/>
      <c r="AO752" s="57"/>
    </row>
    <row r="753" spans="6:41">
      <c r="F753" s="31"/>
      <c r="M753" s="31"/>
      <c r="U753" s="31"/>
      <c r="AC753" s="31"/>
      <c r="AO753" s="57"/>
    </row>
    <row r="754" spans="6:41">
      <c r="F754" s="31"/>
      <c r="M754" s="31"/>
      <c r="U754" s="31"/>
      <c r="AC754" s="31"/>
      <c r="AO754" s="57"/>
    </row>
    <row r="755" spans="6:41">
      <c r="F755" s="31"/>
      <c r="M755" s="31"/>
      <c r="U755" s="31"/>
      <c r="AC755" s="31"/>
      <c r="AO755" s="57"/>
    </row>
    <row r="756" spans="6:41">
      <c r="F756" s="31"/>
      <c r="M756" s="31"/>
      <c r="U756" s="31"/>
      <c r="AC756" s="31"/>
      <c r="AO756" s="57"/>
    </row>
    <row r="757" spans="6:41">
      <c r="F757" s="31"/>
      <c r="M757" s="31"/>
      <c r="U757" s="31"/>
      <c r="AC757" s="31"/>
      <c r="AO757" s="57"/>
    </row>
    <row r="758" spans="6:41">
      <c r="F758" s="31"/>
      <c r="M758" s="31"/>
      <c r="U758" s="31"/>
      <c r="AC758" s="31"/>
      <c r="AO758" s="57"/>
    </row>
    <row r="759" spans="6:41">
      <c r="F759" s="31"/>
      <c r="M759" s="31"/>
      <c r="U759" s="31"/>
      <c r="AC759" s="31"/>
      <c r="AO759" s="57"/>
    </row>
    <row r="760" spans="6:41">
      <c r="F760" s="31"/>
      <c r="M760" s="31"/>
      <c r="U760" s="31"/>
      <c r="AC760" s="31"/>
      <c r="AO760" s="57"/>
    </row>
    <row r="761" spans="6:41">
      <c r="F761" s="31"/>
      <c r="M761" s="31"/>
      <c r="U761" s="31"/>
      <c r="AC761" s="31"/>
      <c r="AO761" s="57"/>
    </row>
    <row r="762" spans="6:41">
      <c r="F762" s="31"/>
      <c r="M762" s="31"/>
      <c r="U762" s="31"/>
      <c r="AC762" s="31"/>
      <c r="AO762" s="57"/>
    </row>
    <row r="763" spans="6:41">
      <c r="F763" s="31"/>
      <c r="M763" s="31"/>
      <c r="U763" s="31"/>
      <c r="AC763" s="31"/>
      <c r="AO763" s="57"/>
    </row>
    <row r="764" spans="6:41">
      <c r="F764" s="31"/>
      <c r="M764" s="31"/>
      <c r="U764" s="31"/>
      <c r="AC764" s="31"/>
      <c r="AO764" s="57"/>
    </row>
    <row r="765" spans="6:41">
      <c r="F765" s="31"/>
      <c r="M765" s="31"/>
      <c r="U765" s="31"/>
      <c r="AC765" s="31"/>
      <c r="AO765" s="57"/>
    </row>
    <row r="766" spans="6:41">
      <c r="F766" s="31"/>
      <c r="M766" s="31"/>
      <c r="U766" s="31"/>
      <c r="AC766" s="31"/>
      <c r="AO766" s="57"/>
    </row>
    <row r="767" spans="6:41">
      <c r="F767" s="31"/>
      <c r="M767" s="31"/>
      <c r="U767" s="31"/>
      <c r="AC767" s="31"/>
      <c r="AO767" s="57"/>
    </row>
    <row r="768" spans="6:41">
      <c r="F768" s="31"/>
      <c r="M768" s="31"/>
      <c r="U768" s="31"/>
      <c r="AC768" s="31"/>
      <c r="AO768" s="57"/>
    </row>
    <row r="769" spans="6:41">
      <c r="F769" s="31"/>
      <c r="M769" s="31"/>
      <c r="U769" s="31"/>
      <c r="AC769" s="31"/>
      <c r="AO769" s="57"/>
    </row>
    <row r="770" spans="6:41">
      <c r="F770" s="31"/>
      <c r="M770" s="31"/>
      <c r="U770" s="31"/>
      <c r="AC770" s="31"/>
      <c r="AO770" s="57"/>
    </row>
    <row r="771" spans="6:41">
      <c r="F771" s="31"/>
      <c r="M771" s="31"/>
      <c r="U771" s="31"/>
      <c r="AC771" s="31"/>
      <c r="AO771" s="57"/>
    </row>
    <row r="772" spans="6:41">
      <c r="F772" s="31"/>
      <c r="M772" s="31"/>
      <c r="U772" s="31"/>
      <c r="AC772" s="31"/>
      <c r="AO772" s="57"/>
    </row>
    <row r="773" spans="6:41">
      <c r="F773" s="31"/>
      <c r="M773" s="31"/>
      <c r="U773" s="31"/>
      <c r="AC773" s="31"/>
      <c r="AO773" s="57"/>
    </row>
    <row r="774" spans="6:41">
      <c r="F774" s="31"/>
      <c r="M774" s="31"/>
      <c r="U774" s="31"/>
      <c r="AC774" s="31"/>
      <c r="AO774" s="57"/>
    </row>
    <row r="775" spans="6:41">
      <c r="F775" s="31"/>
      <c r="M775" s="31"/>
      <c r="U775" s="31"/>
      <c r="AC775" s="31"/>
      <c r="AO775" s="57"/>
    </row>
    <row r="776" spans="6:41">
      <c r="F776" s="31"/>
      <c r="M776" s="31"/>
      <c r="U776" s="31"/>
      <c r="AC776" s="31"/>
      <c r="AO776" s="57"/>
    </row>
    <row r="777" spans="6:41">
      <c r="F777" s="31"/>
      <c r="M777" s="31"/>
      <c r="U777" s="31"/>
      <c r="AC777" s="31"/>
      <c r="AO777" s="57"/>
    </row>
    <row r="778" spans="6:41">
      <c r="F778" s="31"/>
      <c r="M778" s="31"/>
      <c r="U778" s="31"/>
      <c r="AC778" s="31"/>
      <c r="AO778" s="57"/>
    </row>
    <row r="779" spans="6:41">
      <c r="F779" s="31"/>
      <c r="M779" s="31"/>
      <c r="U779" s="31"/>
      <c r="AC779" s="31"/>
      <c r="AO779" s="57"/>
    </row>
    <row r="780" spans="6:41">
      <c r="F780" s="31"/>
      <c r="M780" s="31"/>
      <c r="U780" s="31"/>
      <c r="AC780" s="31"/>
      <c r="AO780" s="57"/>
    </row>
    <row r="781" spans="6:41">
      <c r="F781" s="31"/>
      <c r="M781" s="31"/>
      <c r="U781" s="31"/>
      <c r="AC781" s="31"/>
      <c r="AO781" s="57"/>
    </row>
    <row r="782" spans="6:41">
      <c r="F782" s="31"/>
      <c r="M782" s="31"/>
      <c r="U782" s="31"/>
      <c r="AC782" s="31"/>
      <c r="AO782" s="57"/>
    </row>
    <row r="783" spans="6:41">
      <c r="F783" s="31"/>
      <c r="M783" s="31"/>
      <c r="U783" s="31"/>
      <c r="AC783" s="31"/>
      <c r="AO783" s="57"/>
    </row>
    <row r="784" spans="6:41">
      <c r="F784" s="31"/>
      <c r="M784" s="31"/>
      <c r="U784" s="31"/>
      <c r="AC784" s="31"/>
      <c r="AO784" s="57"/>
    </row>
    <row r="785" spans="6:41">
      <c r="F785" s="31"/>
      <c r="M785" s="31"/>
      <c r="U785" s="31"/>
      <c r="AC785" s="31"/>
      <c r="AO785" s="57"/>
    </row>
    <row r="786" spans="6:41">
      <c r="F786" s="31"/>
      <c r="M786" s="31"/>
      <c r="U786" s="31"/>
      <c r="AC786" s="31"/>
      <c r="AO786" s="57"/>
    </row>
    <row r="787" spans="6:41">
      <c r="F787" s="31"/>
      <c r="M787" s="31"/>
      <c r="U787" s="31"/>
      <c r="AC787" s="31"/>
      <c r="AO787" s="57"/>
    </row>
    <row r="788" spans="6:41">
      <c r="F788" s="31"/>
      <c r="M788" s="31"/>
      <c r="U788" s="31"/>
      <c r="AC788" s="31"/>
      <c r="AO788" s="57"/>
    </row>
    <row r="789" spans="6:41">
      <c r="F789" s="31"/>
      <c r="M789" s="31"/>
      <c r="U789" s="31"/>
      <c r="AC789" s="31"/>
      <c r="AO789" s="57"/>
    </row>
    <row r="790" spans="6:41">
      <c r="F790" s="31"/>
      <c r="M790" s="31"/>
      <c r="U790" s="31"/>
      <c r="AC790" s="31"/>
      <c r="AO790" s="57"/>
    </row>
    <row r="791" spans="6:41">
      <c r="F791" s="31"/>
      <c r="M791" s="31"/>
      <c r="U791" s="31"/>
      <c r="AC791" s="31"/>
      <c r="AO791" s="57"/>
    </row>
    <row r="792" spans="6:41">
      <c r="F792" s="31"/>
      <c r="M792" s="31"/>
      <c r="U792" s="31"/>
      <c r="AC792" s="31"/>
      <c r="AO792" s="57"/>
    </row>
    <row r="793" spans="6:41">
      <c r="F793" s="31"/>
      <c r="M793" s="31"/>
      <c r="U793" s="31"/>
      <c r="AC793" s="31"/>
      <c r="AO793" s="57"/>
    </row>
    <row r="794" spans="6:41">
      <c r="F794" s="31"/>
      <c r="M794" s="31"/>
      <c r="U794" s="31"/>
      <c r="AC794" s="31"/>
      <c r="AO794" s="57"/>
    </row>
    <row r="795" spans="6:41">
      <c r="F795" s="31"/>
      <c r="M795" s="31"/>
      <c r="U795" s="31"/>
      <c r="AC795" s="31"/>
      <c r="AO795" s="57"/>
    </row>
    <row r="796" spans="6:41">
      <c r="F796" s="31"/>
      <c r="M796" s="31"/>
      <c r="U796" s="31"/>
      <c r="AC796" s="31"/>
      <c r="AO796" s="57"/>
    </row>
    <row r="797" spans="6:41">
      <c r="F797" s="31"/>
      <c r="M797" s="31"/>
      <c r="U797" s="31"/>
      <c r="AC797" s="31"/>
      <c r="AO797" s="57"/>
    </row>
    <row r="798" spans="6:41">
      <c r="F798" s="31"/>
      <c r="M798" s="31"/>
      <c r="U798" s="31"/>
      <c r="AC798" s="31"/>
      <c r="AO798" s="57"/>
    </row>
    <row r="799" spans="6:41">
      <c r="F799" s="31"/>
      <c r="M799" s="31"/>
      <c r="U799" s="31"/>
      <c r="AC799" s="31"/>
      <c r="AO799" s="57"/>
    </row>
    <row r="800" spans="6:41">
      <c r="F800" s="31"/>
      <c r="M800" s="31"/>
      <c r="U800" s="31"/>
      <c r="AC800" s="31"/>
      <c r="AO800" s="57"/>
    </row>
    <row r="801" spans="6:41">
      <c r="F801" s="31"/>
      <c r="M801" s="31"/>
      <c r="U801" s="31"/>
      <c r="AC801" s="31"/>
      <c r="AO801" s="57"/>
    </row>
    <row r="802" spans="6:41">
      <c r="F802" s="31"/>
      <c r="M802" s="31"/>
      <c r="U802" s="31"/>
      <c r="AC802" s="31"/>
      <c r="AO802" s="57"/>
    </row>
    <row r="803" spans="6:41">
      <c r="F803" s="31"/>
      <c r="M803" s="31"/>
      <c r="U803" s="31"/>
      <c r="AC803" s="31"/>
      <c r="AO803" s="57"/>
    </row>
    <row r="804" spans="6:41">
      <c r="F804" s="31"/>
      <c r="M804" s="31"/>
      <c r="U804" s="31"/>
      <c r="AC804" s="31"/>
      <c r="AO804" s="57"/>
    </row>
    <row r="805" spans="6:41">
      <c r="F805" s="31"/>
      <c r="M805" s="31"/>
      <c r="U805" s="31"/>
      <c r="AC805" s="31"/>
      <c r="AO805" s="57"/>
    </row>
    <row r="806" spans="6:41">
      <c r="F806" s="31"/>
      <c r="M806" s="31"/>
      <c r="U806" s="31"/>
      <c r="AC806" s="31"/>
      <c r="AO806" s="57"/>
    </row>
    <row r="807" spans="6:41">
      <c r="F807" s="31"/>
      <c r="M807" s="31"/>
      <c r="U807" s="31"/>
      <c r="AC807" s="31"/>
      <c r="AO807" s="57"/>
    </row>
    <row r="808" spans="6:41">
      <c r="F808" s="31"/>
      <c r="M808" s="31"/>
      <c r="U808" s="31"/>
      <c r="AC808" s="31"/>
      <c r="AO808" s="57"/>
    </row>
    <row r="809" spans="6:41">
      <c r="F809" s="31"/>
      <c r="M809" s="31"/>
      <c r="U809" s="31"/>
      <c r="AC809" s="31"/>
      <c r="AO809" s="57"/>
    </row>
    <row r="810" spans="6:41">
      <c r="F810" s="31"/>
      <c r="M810" s="31"/>
      <c r="U810" s="31"/>
      <c r="AC810" s="31"/>
      <c r="AO810" s="57"/>
    </row>
    <row r="811" spans="6:41">
      <c r="F811" s="31"/>
      <c r="M811" s="31"/>
      <c r="U811" s="31"/>
      <c r="AC811" s="31"/>
      <c r="AO811" s="57"/>
    </row>
    <row r="812" spans="6:41">
      <c r="F812" s="31"/>
      <c r="M812" s="31"/>
      <c r="U812" s="31"/>
      <c r="AC812" s="31"/>
      <c r="AO812" s="57"/>
    </row>
    <row r="813" spans="6:41">
      <c r="F813" s="31"/>
      <c r="M813" s="31"/>
      <c r="U813" s="31"/>
      <c r="AC813" s="31"/>
      <c r="AO813" s="57"/>
    </row>
    <row r="814" spans="6:41">
      <c r="F814" s="31"/>
      <c r="M814" s="31"/>
      <c r="U814" s="31"/>
      <c r="AC814" s="31"/>
      <c r="AO814" s="57"/>
    </row>
    <row r="815" spans="6:41">
      <c r="F815" s="31"/>
      <c r="M815" s="31"/>
      <c r="U815" s="31"/>
      <c r="AC815" s="31"/>
      <c r="AO815" s="57"/>
    </row>
    <row r="816" spans="6:41">
      <c r="F816" s="31"/>
      <c r="M816" s="31"/>
      <c r="U816" s="31"/>
      <c r="AC816" s="31"/>
      <c r="AO816" s="57"/>
    </row>
    <row r="817" spans="6:41">
      <c r="F817" s="31"/>
      <c r="M817" s="31"/>
      <c r="U817" s="31"/>
      <c r="AC817" s="31"/>
      <c r="AO817" s="57"/>
    </row>
    <row r="818" spans="6:41">
      <c r="F818" s="31"/>
      <c r="M818" s="31"/>
      <c r="U818" s="31"/>
      <c r="AC818" s="31"/>
      <c r="AO818" s="57"/>
    </row>
    <row r="819" spans="6:41">
      <c r="F819" s="31"/>
      <c r="M819" s="31"/>
      <c r="U819" s="31"/>
      <c r="AC819" s="31"/>
      <c r="AO819" s="57"/>
    </row>
    <row r="820" spans="6:41">
      <c r="F820" s="31"/>
      <c r="M820" s="31"/>
      <c r="U820" s="31"/>
      <c r="AC820" s="31"/>
      <c r="AO820" s="57"/>
    </row>
    <row r="821" spans="6:41">
      <c r="F821" s="31"/>
      <c r="M821" s="31"/>
      <c r="U821" s="31"/>
      <c r="AC821" s="31"/>
      <c r="AO821" s="57"/>
    </row>
    <row r="822" spans="6:41">
      <c r="F822" s="31"/>
      <c r="M822" s="31"/>
      <c r="U822" s="31"/>
      <c r="AC822" s="31"/>
      <c r="AO822" s="57"/>
    </row>
    <row r="823" spans="6:41">
      <c r="F823" s="31"/>
      <c r="M823" s="31"/>
      <c r="U823" s="31"/>
      <c r="AC823" s="31"/>
      <c r="AO823" s="57"/>
    </row>
    <row r="824" spans="6:41">
      <c r="F824" s="31"/>
      <c r="M824" s="31"/>
      <c r="U824" s="31"/>
      <c r="AC824" s="31"/>
      <c r="AO824" s="57"/>
    </row>
    <row r="825" spans="6:41">
      <c r="F825" s="31"/>
      <c r="M825" s="31"/>
      <c r="U825" s="31"/>
      <c r="AC825" s="31"/>
      <c r="AO825" s="57"/>
    </row>
    <row r="826" spans="6:41">
      <c r="F826" s="31"/>
      <c r="M826" s="31"/>
      <c r="U826" s="31"/>
      <c r="AC826" s="31"/>
      <c r="AO826" s="57"/>
    </row>
    <row r="827" spans="6:41">
      <c r="F827" s="31"/>
      <c r="M827" s="31"/>
      <c r="U827" s="31"/>
      <c r="AC827" s="31"/>
      <c r="AO827" s="57"/>
    </row>
    <row r="828" spans="6:41">
      <c r="F828" s="31"/>
      <c r="M828" s="31"/>
      <c r="U828" s="31"/>
      <c r="AC828" s="31"/>
      <c r="AO828" s="57"/>
    </row>
    <row r="829" spans="6:41">
      <c r="F829" s="31"/>
      <c r="M829" s="31"/>
      <c r="U829" s="31"/>
      <c r="AC829" s="31"/>
      <c r="AO829" s="57"/>
    </row>
    <row r="830" spans="6:41">
      <c r="F830" s="31"/>
      <c r="M830" s="31"/>
      <c r="U830" s="31"/>
      <c r="AC830" s="31"/>
      <c r="AO830" s="57"/>
    </row>
    <row r="831" spans="6:41">
      <c r="F831" s="31"/>
      <c r="M831" s="31"/>
      <c r="U831" s="31"/>
      <c r="AC831" s="31"/>
      <c r="AO831" s="57"/>
    </row>
    <row r="832" spans="6:41">
      <c r="F832" s="31"/>
      <c r="M832" s="31"/>
      <c r="U832" s="31"/>
      <c r="AC832" s="31"/>
      <c r="AO832" s="57"/>
    </row>
    <row r="833" spans="6:41">
      <c r="F833" s="31"/>
      <c r="M833" s="31"/>
      <c r="U833" s="31"/>
      <c r="AC833" s="31"/>
      <c r="AO833" s="57"/>
    </row>
    <row r="834" spans="6:41">
      <c r="F834" s="31"/>
      <c r="M834" s="31"/>
      <c r="U834" s="31"/>
      <c r="AC834" s="31"/>
      <c r="AO834" s="57"/>
    </row>
    <row r="835" spans="6:41">
      <c r="F835" s="31"/>
      <c r="M835" s="31"/>
      <c r="U835" s="31"/>
      <c r="AC835" s="31"/>
      <c r="AO835" s="57"/>
    </row>
    <row r="836" spans="6:41">
      <c r="F836" s="31"/>
      <c r="M836" s="31"/>
      <c r="U836" s="31"/>
      <c r="AC836" s="31"/>
      <c r="AO836" s="57"/>
    </row>
    <row r="837" spans="6:41">
      <c r="F837" s="31"/>
      <c r="M837" s="31"/>
      <c r="U837" s="31"/>
      <c r="AC837" s="31"/>
      <c r="AO837" s="57"/>
    </row>
    <row r="838" spans="6:41">
      <c r="F838" s="31"/>
      <c r="M838" s="31"/>
      <c r="U838" s="31"/>
      <c r="AC838" s="31"/>
      <c r="AO838" s="57"/>
    </row>
    <row r="839" spans="6:41">
      <c r="F839" s="31"/>
      <c r="M839" s="31"/>
      <c r="U839" s="31"/>
      <c r="AC839" s="31"/>
      <c r="AO839" s="57"/>
    </row>
    <row r="840" spans="6:41">
      <c r="F840" s="31"/>
      <c r="M840" s="31"/>
      <c r="U840" s="31"/>
      <c r="AC840" s="31"/>
      <c r="AO840" s="57"/>
    </row>
    <row r="841" spans="6:41">
      <c r="F841" s="31"/>
      <c r="M841" s="31"/>
      <c r="U841" s="31"/>
      <c r="AC841" s="31"/>
      <c r="AO841" s="57"/>
    </row>
    <row r="842" spans="6:41">
      <c r="F842" s="31"/>
      <c r="M842" s="31"/>
      <c r="U842" s="31"/>
      <c r="AC842" s="31"/>
      <c r="AO842" s="57"/>
    </row>
    <row r="843" spans="6:41">
      <c r="F843" s="31"/>
      <c r="M843" s="31"/>
      <c r="U843" s="31"/>
      <c r="AC843" s="31"/>
      <c r="AO843" s="57"/>
    </row>
    <row r="844" spans="6:41">
      <c r="F844" s="31"/>
      <c r="M844" s="31"/>
      <c r="U844" s="31"/>
      <c r="AC844" s="31"/>
      <c r="AO844" s="57"/>
    </row>
    <row r="845" spans="6:41">
      <c r="F845" s="31"/>
      <c r="M845" s="31"/>
      <c r="U845" s="31"/>
      <c r="AC845" s="31"/>
      <c r="AO845" s="57"/>
    </row>
    <row r="846" spans="6:41">
      <c r="F846" s="31"/>
      <c r="M846" s="31"/>
      <c r="U846" s="31"/>
      <c r="AC846" s="31"/>
      <c r="AO846" s="57"/>
    </row>
    <row r="847" spans="6:41">
      <c r="F847" s="31"/>
      <c r="M847" s="31"/>
      <c r="U847" s="31"/>
      <c r="AC847" s="31"/>
      <c r="AO847" s="57"/>
    </row>
    <row r="848" spans="6:41">
      <c r="F848" s="31"/>
      <c r="M848" s="31"/>
      <c r="U848" s="31"/>
      <c r="AC848" s="31"/>
      <c r="AO848" s="57"/>
    </row>
    <row r="849" spans="6:41">
      <c r="F849" s="31"/>
      <c r="M849" s="31"/>
      <c r="U849" s="31"/>
      <c r="AC849" s="31"/>
      <c r="AO849" s="57"/>
    </row>
    <row r="850" spans="6:41">
      <c r="F850" s="31"/>
      <c r="M850" s="31"/>
      <c r="U850" s="31"/>
      <c r="AC850" s="31"/>
      <c r="AO850" s="57"/>
    </row>
    <row r="851" spans="6:41">
      <c r="F851" s="31"/>
      <c r="M851" s="31"/>
      <c r="U851" s="31"/>
      <c r="AC851" s="31"/>
      <c r="AO851" s="57"/>
    </row>
    <row r="852" spans="6:41">
      <c r="F852" s="31"/>
      <c r="M852" s="31"/>
      <c r="U852" s="31"/>
      <c r="AC852" s="31"/>
      <c r="AO852" s="57"/>
    </row>
    <row r="853" spans="6:41">
      <c r="F853" s="31"/>
      <c r="M853" s="31"/>
      <c r="U853" s="31"/>
      <c r="AC853" s="31"/>
      <c r="AO853" s="57"/>
    </row>
    <row r="854" spans="6:41">
      <c r="F854" s="31"/>
      <c r="M854" s="31"/>
      <c r="U854" s="31"/>
      <c r="AC854" s="31"/>
      <c r="AO854" s="57"/>
    </row>
    <row r="855" spans="6:41">
      <c r="F855" s="31"/>
      <c r="M855" s="31"/>
      <c r="U855" s="31"/>
      <c r="AC855" s="31"/>
      <c r="AO855" s="57"/>
    </row>
    <row r="856" spans="6:41">
      <c r="F856" s="31"/>
      <c r="M856" s="31"/>
      <c r="U856" s="31"/>
      <c r="AC856" s="31"/>
      <c r="AO856" s="57"/>
    </row>
    <row r="857" spans="6:41">
      <c r="F857" s="31"/>
      <c r="M857" s="31"/>
      <c r="U857" s="31"/>
      <c r="AC857" s="31"/>
      <c r="AO857" s="57"/>
    </row>
    <row r="858" spans="6:41">
      <c r="F858" s="31"/>
      <c r="M858" s="31"/>
      <c r="U858" s="31"/>
      <c r="AC858" s="31"/>
      <c r="AO858" s="57"/>
    </row>
    <row r="859" spans="6:41">
      <c r="F859" s="31"/>
      <c r="M859" s="31"/>
      <c r="U859" s="31"/>
      <c r="AC859" s="31"/>
      <c r="AO859" s="57"/>
    </row>
    <row r="860" spans="6:41">
      <c r="F860" s="31"/>
      <c r="M860" s="31"/>
      <c r="U860" s="31"/>
      <c r="AC860" s="31"/>
      <c r="AO860" s="57"/>
    </row>
    <row r="861" spans="6:41">
      <c r="F861" s="31"/>
      <c r="M861" s="31"/>
      <c r="U861" s="31"/>
      <c r="AC861" s="31"/>
      <c r="AO861" s="57"/>
    </row>
    <row r="862" spans="6:41">
      <c r="F862" s="31"/>
      <c r="M862" s="31"/>
      <c r="U862" s="31"/>
      <c r="AC862" s="31"/>
      <c r="AO862" s="57"/>
    </row>
    <row r="863" spans="6:41">
      <c r="F863" s="31"/>
      <c r="M863" s="31"/>
      <c r="U863" s="31"/>
      <c r="AC863" s="31"/>
      <c r="AO863" s="57"/>
    </row>
    <row r="864" spans="6:41">
      <c r="F864" s="31"/>
      <c r="M864" s="31"/>
      <c r="U864" s="31"/>
      <c r="AC864" s="31"/>
      <c r="AO864" s="57"/>
    </row>
    <row r="865" spans="6:41">
      <c r="F865" s="31"/>
      <c r="M865" s="31"/>
      <c r="U865" s="31"/>
      <c r="AC865" s="31"/>
      <c r="AO865" s="57"/>
    </row>
    <row r="866" spans="6:41">
      <c r="F866" s="31"/>
      <c r="M866" s="31"/>
      <c r="U866" s="31"/>
      <c r="AC866" s="31"/>
      <c r="AO866" s="57"/>
    </row>
    <row r="867" spans="6:41">
      <c r="F867" s="31"/>
      <c r="M867" s="31"/>
      <c r="U867" s="31"/>
      <c r="AC867" s="31"/>
      <c r="AO867" s="57"/>
    </row>
    <row r="868" spans="6:41">
      <c r="F868" s="31"/>
      <c r="M868" s="31"/>
      <c r="U868" s="31"/>
      <c r="AC868" s="31"/>
      <c r="AO868" s="57"/>
    </row>
    <row r="869" spans="6:41">
      <c r="F869" s="31"/>
      <c r="M869" s="31"/>
      <c r="U869" s="31"/>
      <c r="AC869" s="31"/>
      <c r="AO869" s="57"/>
    </row>
    <row r="870" spans="6:41">
      <c r="F870" s="31"/>
      <c r="M870" s="31"/>
      <c r="U870" s="31"/>
      <c r="AC870" s="31"/>
      <c r="AO870" s="57"/>
    </row>
    <row r="871" spans="6:41">
      <c r="F871" s="31"/>
      <c r="M871" s="31"/>
      <c r="U871" s="31"/>
      <c r="AC871" s="31"/>
      <c r="AO871" s="57"/>
    </row>
    <row r="872" spans="6:41">
      <c r="F872" s="31"/>
      <c r="M872" s="31"/>
      <c r="U872" s="31"/>
      <c r="AC872" s="31"/>
      <c r="AO872" s="57"/>
    </row>
    <row r="873" spans="6:41">
      <c r="F873" s="31"/>
      <c r="M873" s="31"/>
      <c r="U873" s="31"/>
      <c r="AC873" s="31"/>
      <c r="AO873" s="57"/>
    </row>
    <row r="874" spans="6:41">
      <c r="F874" s="31"/>
      <c r="M874" s="31"/>
      <c r="U874" s="31"/>
      <c r="AC874" s="31"/>
      <c r="AO874" s="57"/>
    </row>
    <row r="875" spans="6:41">
      <c r="F875" s="31"/>
      <c r="M875" s="31"/>
      <c r="U875" s="31"/>
      <c r="AC875" s="31"/>
      <c r="AO875" s="57"/>
    </row>
    <row r="876" spans="6:41">
      <c r="F876" s="31"/>
      <c r="M876" s="31"/>
      <c r="U876" s="31"/>
      <c r="AC876" s="31"/>
      <c r="AO876" s="57"/>
    </row>
    <row r="877" spans="6:41">
      <c r="F877" s="31"/>
      <c r="M877" s="31"/>
      <c r="U877" s="31"/>
      <c r="AC877" s="31"/>
      <c r="AO877" s="57"/>
    </row>
    <row r="878" spans="6:41">
      <c r="F878" s="31"/>
      <c r="M878" s="31"/>
      <c r="U878" s="31"/>
      <c r="AC878" s="31"/>
      <c r="AO878" s="57"/>
    </row>
    <row r="879" spans="6:41">
      <c r="F879" s="31"/>
      <c r="M879" s="31"/>
      <c r="U879" s="31"/>
      <c r="AC879" s="31"/>
      <c r="AO879" s="57"/>
    </row>
    <row r="880" spans="6:41">
      <c r="F880" s="31"/>
      <c r="M880" s="31"/>
      <c r="U880" s="31"/>
      <c r="AC880" s="31"/>
      <c r="AO880" s="57"/>
    </row>
    <row r="881" spans="6:41">
      <c r="F881" s="31"/>
      <c r="M881" s="31"/>
      <c r="U881" s="31"/>
      <c r="AC881" s="31"/>
      <c r="AO881" s="57"/>
    </row>
    <row r="882" spans="6:41">
      <c r="F882" s="31"/>
      <c r="M882" s="31"/>
      <c r="U882" s="31"/>
      <c r="AC882" s="31"/>
      <c r="AO882" s="57"/>
    </row>
    <row r="883" spans="6:41">
      <c r="F883" s="31"/>
      <c r="M883" s="31"/>
      <c r="U883" s="31"/>
      <c r="AC883" s="31"/>
      <c r="AO883" s="57"/>
    </row>
    <row r="884" spans="6:41">
      <c r="F884" s="31"/>
      <c r="M884" s="31"/>
      <c r="U884" s="31"/>
      <c r="AC884" s="31"/>
      <c r="AO884" s="57"/>
    </row>
    <row r="885" spans="6:41">
      <c r="F885" s="31"/>
      <c r="M885" s="31"/>
      <c r="U885" s="31"/>
      <c r="AC885" s="31"/>
      <c r="AO885" s="57"/>
    </row>
    <row r="886" spans="6:41">
      <c r="F886" s="31"/>
      <c r="M886" s="31"/>
      <c r="U886" s="31"/>
      <c r="AC886" s="31"/>
      <c r="AO886" s="57"/>
    </row>
    <row r="887" spans="6:41">
      <c r="F887" s="31"/>
      <c r="M887" s="31"/>
      <c r="U887" s="31"/>
      <c r="AC887" s="31"/>
      <c r="AO887" s="57"/>
    </row>
    <row r="888" spans="6:41">
      <c r="F888" s="31"/>
      <c r="M888" s="31"/>
      <c r="U888" s="31"/>
      <c r="AC888" s="31"/>
      <c r="AO888" s="57"/>
    </row>
    <row r="889" spans="6:41">
      <c r="F889" s="31"/>
      <c r="M889" s="31"/>
      <c r="U889" s="31"/>
      <c r="AC889" s="31"/>
      <c r="AO889" s="57"/>
    </row>
    <row r="890" spans="6:41">
      <c r="F890" s="31"/>
      <c r="M890" s="31"/>
      <c r="U890" s="31"/>
      <c r="AC890" s="31"/>
      <c r="AO890" s="57"/>
    </row>
    <row r="891" spans="6:41">
      <c r="F891" s="31"/>
      <c r="M891" s="31"/>
      <c r="U891" s="31"/>
      <c r="AC891" s="31"/>
      <c r="AO891" s="57"/>
    </row>
    <row r="892" spans="6:41">
      <c r="F892" s="31"/>
      <c r="M892" s="31"/>
      <c r="U892" s="31"/>
      <c r="AC892" s="31"/>
      <c r="AO892" s="57"/>
    </row>
    <row r="893" spans="6:41">
      <c r="F893" s="31"/>
      <c r="M893" s="31"/>
      <c r="U893" s="31"/>
      <c r="AC893" s="31"/>
      <c r="AO893" s="57"/>
    </row>
    <row r="894" spans="6:41">
      <c r="F894" s="31"/>
      <c r="M894" s="31"/>
      <c r="U894" s="31"/>
      <c r="AC894" s="31"/>
      <c r="AO894" s="57"/>
    </row>
    <row r="895" spans="6:41">
      <c r="F895" s="31"/>
      <c r="M895" s="31"/>
      <c r="U895" s="31"/>
      <c r="AC895" s="31"/>
      <c r="AO895" s="57"/>
    </row>
    <row r="896" spans="6:41">
      <c r="F896" s="31"/>
      <c r="M896" s="31"/>
      <c r="U896" s="31"/>
      <c r="AC896" s="31"/>
      <c r="AO896" s="57"/>
    </row>
    <row r="897" spans="6:41">
      <c r="F897" s="31"/>
      <c r="M897" s="31"/>
      <c r="U897" s="31"/>
      <c r="AC897" s="31"/>
      <c r="AO897" s="57"/>
    </row>
    <row r="898" spans="6:41">
      <c r="F898" s="31"/>
      <c r="M898" s="31"/>
      <c r="U898" s="31"/>
      <c r="AC898" s="31"/>
      <c r="AO898" s="57"/>
    </row>
    <row r="899" spans="6:41">
      <c r="F899" s="31"/>
      <c r="M899" s="31"/>
      <c r="U899" s="31"/>
      <c r="AC899" s="31"/>
      <c r="AO899" s="57"/>
    </row>
    <row r="900" spans="6:41">
      <c r="F900" s="31"/>
      <c r="M900" s="31"/>
      <c r="U900" s="31"/>
      <c r="AC900" s="31"/>
      <c r="AO900" s="57"/>
    </row>
    <row r="901" spans="6:41">
      <c r="F901" s="31"/>
      <c r="M901" s="31"/>
      <c r="U901" s="31"/>
      <c r="AC901" s="31"/>
      <c r="AO901" s="57"/>
    </row>
    <row r="902" spans="6:41">
      <c r="F902" s="31"/>
      <c r="M902" s="31"/>
      <c r="U902" s="31"/>
      <c r="AC902" s="31"/>
      <c r="AO902" s="57"/>
    </row>
    <row r="903" spans="6:41">
      <c r="F903" s="31"/>
      <c r="M903" s="31"/>
      <c r="U903" s="31"/>
      <c r="AC903" s="31"/>
      <c r="AO903" s="57"/>
    </row>
    <row r="904" spans="6:41">
      <c r="F904" s="31"/>
      <c r="M904" s="31"/>
      <c r="U904" s="31"/>
      <c r="AC904" s="31"/>
      <c r="AO904" s="57"/>
    </row>
    <row r="905" spans="6:41">
      <c r="F905" s="31"/>
      <c r="M905" s="31"/>
      <c r="U905" s="31"/>
      <c r="AC905" s="31"/>
      <c r="AO905" s="57"/>
    </row>
    <row r="906" spans="6:41">
      <c r="F906" s="31"/>
      <c r="M906" s="31"/>
      <c r="U906" s="31"/>
      <c r="AC906" s="31"/>
      <c r="AO906" s="57"/>
    </row>
    <row r="907" spans="6:41">
      <c r="F907" s="31"/>
      <c r="M907" s="31"/>
      <c r="U907" s="31"/>
      <c r="AC907" s="31"/>
      <c r="AO907" s="57"/>
    </row>
    <row r="908" spans="6:41">
      <c r="F908" s="31"/>
      <c r="M908" s="31"/>
      <c r="U908" s="31"/>
      <c r="AC908" s="31"/>
      <c r="AO908" s="57"/>
    </row>
    <row r="909" spans="6:41">
      <c r="F909" s="31"/>
      <c r="M909" s="31"/>
      <c r="U909" s="31"/>
      <c r="AC909" s="31"/>
      <c r="AO909" s="57"/>
    </row>
    <row r="910" spans="6:41">
      <c r="F910" s="31"/>
      <c r="M910" s="31"/>
      <c r="U910" s="31"/>
      <c r="AC910" s="31"/>
      <c r="AO910" s="57"/>
    </row>
    <row r="911" spans="6:41">
      <c r="F911" s="31"/>
      <c r="M911" s="31"/>
      <c r="U911" s="31"/>
      <c r="AC911" s="31"/>
      <c r="AO911" s="57"/>
    </row>
    <row r="912" spans="6:41">
      <c r="F912" s="31"/>
      <c r="M912" s="31"/>
      <c r="U912" s="31"/>
      <c r="AC912" s="31"/>
      <c r="AO912" s="57"/>
    </row>
    <row r="913" spans="6:41">
      <c r="F913" s="31"/>
      <c r="M913" s="31"/>
      <c r="U913" s="31"/>
      <c r="AC913" s="31"/>
      <c r="AO913" s="57"/>
    </row>
    <row r="914" spans="6:41">
      <c r="F914" s="31"/>
      <c r="M914" s="31"/>
      <c r="U914" s="31"/>
      <c r="AC914" s="31"/>
      <c r="AO914" s="57"/>
    </row>
    <row r="915" spans="6:41">
      <c r="F915" s="31"/>
      <c r="M915" s="31"/>
      <c r="U915" s="31"/>
      <c r="AC915" s="31"/>
      <c r="AO915" s="57"/>
    </row>
    <row r="916" spans="6:41">
      <c r="F916" s="31"/>
      <c r="M916" s="31"/>
      <c r="U916" s="31"/>
      <c r="AC916" s="31"/>
      <c r="AO916" s="57"/>
    </row>
    <row r="917" spans="6:41">
      <c r="F917" s="31"/>
      <c r="M917" s="31"/>
      <c r="U917" s="31"/>
      <c r="AC917" s="31"/>
      <c r="AO917" s="57"/>
    </row>
    <row r="918" spans="6:41">
      <c r="F918" s="31"/>
      <c r="M918" s="31"/>
      <c r="U918" s="31"/>
      <c r="AC918" s="31"/>
      <c r="AO918" s="57"/>
    </row>
    <row r="919" spans="6:41">
      <c r="F919" s="31"/>
      <c r="M919" s="31"/>
      <c r="U919" s="31"/>
      <c r="AC919" s="31"/>
      <c r="AO919" s="57"/>
    </row>
    <row r="920" spans="6:41">
      <c r="F920" s="31"/>
      <c r="M920" s="31"/>
      <c r="U920" s="31"/>
      <c r="AC920" s="31"/>
      <c r="AO920" s="57"/>
    </row>
    <row r="921" spans="6:41">
      <c r="F921" s="31"/>
      <c r="M921" s="31"/>
      <c r="U921" s="31"/>
      <c r="AC921" s="31"/>
      <c r="AO921" s="57"/>
    </row>
    <row r="922" spans="6:41">
      <c r="F922" s="31"/>
      <c r="M922" s="31"/>
      <c r="U922" s="31"/>
      <c r="AC922" s="31"/>
      <c r="AO922" s="57"/>
    </row>
    <row r="923" spans="6:41">
      <c r="F923" s="31"/>
      <c r="M923" s="31"/>
      <c r="U923" s="31"/>
      <c r="AC923" s="31"/>
      <c r="AO923" s="57"/>
    </row>
    <row r="924" spans="6:41">
      <c r="F924" s="31"/>
      <c r="M924" s="31"/>
      <c r="U924" s="31"/>
      <c r="AC924" s="31"/>
      <c r="AO924" s="57"/>
    </row>
    <row r="925" spans="6:41">
      <c r="F925" s="31"/>
      <c r="M925" s="31"/>
      <c r="U925" s="31"/>
      <c r="AC925" s="31"/>
      <c r="AO925" s="57"/>
    </row>
    <row r="926" spans="6:41">
      <c r="F926" s="31"/>
      <c r="M926" s="31"/>
      <c r="U926" s="31"/>
      <c r="AC926" s="31"/>
      <c r="AO926" s="57"/>
    </row>
    <row r="927" spans="6:41">
      <c r="F927" s="31"/>
      <c r="M927" s="31"/>
      <c r="U927" s="31"/>
      <c r="AC927" s="31"/>
      <c r="AO927" s="57"/>
    </row>
    <row r="928" spans="6:41">
      <c r="F928" s="31"/>
      <c r="M928" s="31"/>
      <c r="U928" s="31"/>
      <c r="AC928" s="31"/>
      <c r="AO928" s="57"/>
    </row>
    <row r="929" spans="6:41">
      <c r="F929" s="31"/>
      <c r="M929" s="31"/>
      <c r="U929" s="31"/>
      <c r="AC929" s="31"/>
      <c r="AO929" s="57"/>
    </row>
    <row r="930" spans="6:41">
      <c r="F930" s="31"/>
      <c r="M930" s="31"/>
      <c r="U930" s="31"/>
      <c r="AC930" s="31"/>
      <c r="AO930" s="57"/>
    </row>
    <row r="931" spans="6:41">
      <c r="F931" s="31"/>
      <c r="M931" s="31"/>
      <c r="U931" s="31"/>
      <c r="AC931" s="31"/>
      <c r="AO931" s="57"/>
    </row>
    <row r="932" spans="6:41">
      <c r="F932" s="31"/>
      <c r="M932" s="31"/>
      <c r="U932" s="31"/>
      <c r="AC932" s="31"/>
      <c r="AO932" s="57"/>
    </row>
    <row r="933" spans="6:41">
      <c r="F933" s="31"/>
      <c r="M933" s="31"/>
      <c r="U933" s="31"/>
      <c r="AC933" s="31"/>
      <c r="AO933" s="57"/>
    </row>
    <row r="934" spans="6:41">
      <c r="F934" s="31"/>
      <c r="M934" s="31"/>
      <c r="U934" s="31"/>
      <c r="AC934" s="31"/>
      <c r="AO934" s="57"/>
    </row>
    <row r="935" spans="6:41">
      <c r="F935" s="31"/>
      <c r="M935" s="31"/>
      <c r="U935" s="31"/>
      <c r="AC935" s="31"/>
      <c r="AO935" s="57"/>
    </row>
    <row r="936" spans="6:41">
      <c r="F936" s="31"/>
      <c r="M936" s="31"/>
      <c r="U936" s="31"/>
      <c r="AC936" s="31"/>
      <c r="AO936" s="57"/>
    </row>
    <row r="937" spans="6:41">
      <c r="F937" s="31"/>
      <c r="M937" s="31"/>
      <c r="U937" s="31"/>
      <c r="AC937" s="31"/>
      <c r="AO937" s="57"/>
    </row>
    <row r="938" spans="6:41">
      <c r="F938" s="31"/>
      <c r="M938" s="31"/>
      <c r="U938" s="31"/>
      <c r="AC938" s="31"/>
      <c r="AO938" s="57"/>
    </row>
    <row r="939" spans="6:41">
      <c r="F939" s="31"/>
      <c r="M939" s="31"/>
      <c r="U939" s="31"/>
      <c r="AC939" s="31"/>
      <c r="AO939" s="57"/>
    </row>
    <row r="940" spans="6:41">
      <c r="F940" s="31"/>
      <c r="M940" s="31"/>
      <c r="U940" s="31"/>
      <c r="AC940" s="31"/>
      <c r="AO940" s="57"/>
    </row>
    <row r="941" spans="6:41">
      <c r="F941" s="31"/>
      <c r="M941" s="31"/>
      <c r="U941" s="31"/>
      <c r="AC941" s="31"/>
      <c r="AO941" s="57"/>
    </row>
    <row r="942" spans="6:41">
      <c r="F942" s="31"/>
      <c r="M942" s="31"/>
      <c r="U942" s="31"/>
      <c r="AC942" s="31"/>
      <c r="AO942" s="57"/>
    </row>
    <row r="943" spans="6:41">
      <c r="F943" s="31"/>
      <c r="M943" s="31"/>
      <c r="U943" s="31"/>
      <c r="AC943" s="31"/>
      <c r="AO943" s="57"/>
    </row>
    <row r="944" spans="6:41">
      <c r="F944" s="31"/>
      <c r="M944" s="31"/>
      <c r="U944" s="31"/>
      <c r="AC944" s="31"/>
      <c r="AO944" s="57"/>
    </row>
    <row r="945" spans="6:41">
      <c r="F945" s="31"/>
      <c r="M945" s="31"/>
      <c r="U945" s="31"/>
      <c r="AC945" s="31"/>
      <c r="AO945" s="57"/>
    </row>
    <row r="946" spans="6:41">
      <c r="F946" s="31"/>
      <c r="M946" s="31"/>
      <c r="U946" s="31"/>
      <c r="AC946" s="31"/>
      <c r="AO946" s="57"/>
    </row>
    <row r="947" spans="6:41">
      <c r="F947" s="31"/>
      <c r="M947" s="31"/>
      <c r="U947" s="31"/>
      <c r="AC947" s="31"/>
      <c r="AO947" s="57"/>
    </row>
    <row r="948" spans="6:41">
      <c r="F948" s="31"/>
      <c r="M948" s="31"/>
      <c r="U948" s="31"/>
      <c r="AC948" s="31"/>
      <c r="AO948" s="57"/>
    </row>
    <row r="949" spans="6:41">
      <c r="F949" s="31"/>
      <c r="M949" s="31"/>
      <c r="U949" s="31"/>
      <c r="AC949" s="31"/>
      <c r="AO949" s="57"/>
    </row>
    <row r="950" spans="6:41">
      <c r="F950" s="31"/>
      <c r="M950" s="31"/>
      <c r="U950" s="31"/>
      <c r="AC950" s="31"/>
      <c r="AO950" s="57"/>
    </row>
    <row r="951" spans="6:41">
      <c r="F951" s="31"/>
      <c r="M951" s="31"/>
      <c r="U951" s="31"/>
      <c r="AC951" s="31"/>
      <c r="AO951" s="57"/>
    </row>
    <row r="952" spans="6:41">
      <c r="F952" s="31"/>
      <c r="M952" s="31"/>
      <c r="U952" s="31"/>
      <c r="AC952" s="31"/>
      <c r="AO952" s="57"/>
    </row>
    <row r="953" spans="6:41">
      <c r="F953" s="31"/>
      <c r="M953" s="31"/>
      <c r="U953" s="31"/>
      <c r="AC953" s="31"/>
      <c r="AO953" s="57"/>
    </row>
    <row r="954" spans="6:41">
      <c r="F954" s="31"/>
      <c r="M954" s="31"/>
      <c r="U954" s="31"/>
      <c r="AC954" s="31"/>
      <c r="AO954" s="57"/>
    </row>
    <row r="955" spans="6:41">
      <c r="F955" s="31"/>
      <c r="M955" s="31"/>
      <c r="U955" s="31"/>
      <c r="AC955" s="31"/>
      <c r="AO955" s="57"/>
    </row>
    <row r="956" spans="6:41">
      <c r="F956" s="31"/>
      <c r="M956" s="31"/>
      <c r="U956" s="31"/>
      <c r="AC956" s="31"/>
      <c r="AO956" s="57"/>
    </row>
    <row r="957" spans="6:41">
      <c r="F957" s="31"/>
      <c r="M957" s="31"/>
      <c r="U957" s="31"/>
      <c r="AC957" s="31"/>
      <c r="AO957" s="57"/>
    </row>
    <row r="958" spans="6:41">
      <c r="F958" s="31"/>
      <c r="M958" s="31"/>
      <c r="U958" s="31"/>
      <c r="AC958" s="31"/>
      <c r="AO958" s="57"/>
    </row>
    <row r="959" spans="6:41">
      <c r="F959" s="31"/>
      <c r="M959" s="31"/>
      <c r="U959" s="31"/>
      <c r="AC959" s="31"/>
      <c r="AO959" s="57"/>
    </row>
    <row r="960" spans="6:41">
      <c r="F960" s="31"/>
      <c r="M960" s="31"/>
      <c r="U960" s="31"/>
      <c r="AC960" s="31"/>
      <c r="AO960" s="57"/>
    </row>
    <row r="961" spans="6:41">
      <c r="F961" s="31"/>
      <c r="M961" s="31"/>
      <c r="U961" s="31"/>
      <c r="AC961" s="31"/>
      <c r="AO961" s="57"/>
    </row>
    <row r="962" spans="6:41">
      <c r="F962" s="31"/>
      <c r="M962" s="31"/>
      <c r="U962" s="31"/>
      <c r="AC962" s="31"/>
      <c r="AO962" s="57"/>
    </row>
    <row r="963" spans="6:41">
      <c r="F963" s="31"/>
      <c r="M963" s="31"/>
      <c r="U963" s="31"/>
      <c r="AC963" s="31"/>
      <c r="AO963" s="57"/>
    </row>
    <row r="964" spans="6:41">
      <c r="F964" s="31"/>
      <c r="M964" s="31"/>
      <c r="U964" s="31"/>
      <c r="AC964" s="31"/>
      <c r="AO964" s="57"/>
    </row>
    <row r="965" spans="6:41">
      <c r="F965" s="31"/>
      <c r="M965" s="31"/>
      <c r="U965" s="31"/>
      <c r="AC965" s="31"/>
      <c r="AO965" s="57"/>
    </row>
    <row r="966" spans="6:41">
      <c r="F966" s="31"/>
      <c r="M966" s="31"/>
      <c r="U966" s="31"/>
      <c r="AC966" s="31"/>
      <c r="AO966" s="57"/>
    </row>
    <row r="967" spans="6:41">
      <c r="F967" s="31"/>
      <c r="M967" s="31"/>
      <c r="U967" s="31"/>
      <c r="AC967" s="31"/>
      <c r="AO967" s="57"/>
    </row>
    <row r="968" spans="6:41">
      <c r="F968" s="31"/>
      <c r="M968" s="31"/>
      <c r="U968" s="31"/>
      <c r="AC968" s="31"/>
      <c r="AO968" s="57"/>
    </row>
    <row r="969" spans="6:41">
      <c r="F969" s="31"/>
      <c r="M969" s="31"/>
      <c r="U969" s="31"/>
      <c r="AC969" s="31"/>
      <c r="AO969" s="57"/>
    </row>
    <row r="970" spans="6:41">
      <c r="F970" s="31"/>
      <c r="M970" s="31"/>
      <c r="U970" s="31"/>
      <c r="AC970" s="31"/>
      <c r="AO970" s="57"/>
    </row>
    <row r="971" spans="6:41">
      <c r="F971" s="31"/>
      <c r="M971" s="31"/>
      <c r="U971" s="31"/>
      <c r="AC971" s="31"/>
      <c r="AO971" s="57"/>
    </row>
    <row r="972" spans="6:41">
      <c r="F972" s="31"/>
      <c r="M972" s="31"/>
      <c r="U972" s="31"/>
      <c r="AC972" s="31"/>
      <c r="AO972" s="57"/>
    </row>
    <row r="973" spans="6:41">
      <c r="F973" s="31"/>
      <c r="M973" s="31"/>
      <c r="U973" s="31"/>
      <c r="AC973" s="31"/>
      <c r="AO973" s="57"/>
    </row>
    <row r="974" spans="6:41">
      <c r="F974" s="31"/>
      <c r="M974" s="31"/>
      <c r="U974" s="31"/>
      <c r="AC974" s="31"/>
      <c r="AO974" s="57"/>
    </row>
    <row r="975" spans="6:41">
      <c r="F975" s="31"/>
      <c r="M975" s="31"/>
      <c r="U975" s="31"/>
      <c r="AC975" s="31"/>
      <c r="AO975" s="57"/>
    </row>
    <row r="976" spans="6:41">
      <c r="F976" s="31"/>
      <c r="M976" s="31"/>
      <c r="U976" s="31"/>
      <c r="AC976" s="31"/>
      <c r="AO976" s="57"/>
    </row>
    <row r="977" spans="6:41">
      <c r="F977" s="31"/>
      <c r="M977" s="31"/>
      <c r="U977" s="31"/>
      <c r="AC977" s="31"/>
      <c r="AO977" s="57"/>
    </row>
    <row r="978" spans="6:41">
      <c r="F978" s="31"/>
      <c r="M978" s="31"/>
      <c r="U978" s="31"/>
      <c r="AC978" s="31"/>
      <c r="AO978" s="57"/>
    </row>
    <row r="979" spans="6:41">
      <c r="F979" s="31"/>
      <c r="M979" s="31"/>
      <c r="U979" s="31"/>
      <c r="AC979" s="31"/>
      <c r="AO979" s="57"/>
    </row>
    <row r="980" spans="6:41">
      <c r="F980" s="31"/>
      <c r="M980" s="31"/>
      <c r="U980" s="31"/>
      <c r="AC980" s="31"/>
      <c r="AO980" s="57"/>
    </row>
    <row r="981" spans="6:41">
      <c r="F981" s="31"/>
      <c r="M981" s="31"/>
      <c r="U981" s="31"/>
      <c r="AC981" s="31"/>
      <c r="AO981" s="57"/>
    </row>
    <row r="982" spans="6:41">
      <c r="F982" s="31"/>
      <c r="M982" s="31"/>
      <c r="U982" s="31"/>
      <c r="AC982" s="31"/>
      <c r="AO982" s="57"/>
    </row>
    <row r="983" spans="6:41">
      <c r="F983" s="31"/>
      <c r="M983" s="31"/>
      <c r="U983" s="31"/>
      <c r="AC983" s="31"/>
      <c r="AO983" s="57"/>
    </row>
    <row r="984" spans="6:41">
      <c r="F984" s="31"/>
      <c r="M984" s="31"/>
      <c r="U984" s="31"/>
      <c r="AC984" s="31"/>
      <c r="AO984" s="57"/>
    </row>
    <row r="985" spans="6:41">
      <c r="F985" s="31"/>
      <c r="M985" s="31"/>
      <c r="U985" s="31"/>
      <c r="AC985" s="31"/>
      <c r="AO985" s="57"/>
    </row>
    <row r="986" spans="6:41">
      <c r="F986" s="31"/>
      <c r="M986" s="31"/>
      <c r="U986" s="31"/>
      <c r="AC986" s="31"/>
      <c r="AO986" s="57"/>
    </row>
    <row r="987" spans="6:41">
      <c r="F987" s="31"/>
      <c r="M987" s="31"/>
      <c r="U987" s="31"/>
      <c r="AC987" s="31"/>
      <c r="AO987" s="57"/>
    </row>
    <row r="988" spans="6:41">
      <c r="F988" s="31"/>
      <c r="M988" s="31"/>
      <c r="U988" s="31"/>
      <c r="AC988" s="31"/>
      <c r="AO988" s="57"/>
    </row>
    <row r="989" spans="6:41">
      <c r="F989" s="31"/>
      <c r="M989" s="31"/>
      <c r="U989" s="31"/>
      <c r="AC989" s="31"/>
      <c r="AO989" s="57"/>
    </row>
    <row r="990" spans="6:41">
      <c r="F990" s="31"/>
      <c r="M990" s="31"/>
      <c r="U990" s="31"/>
      <c r="AC990" s="31"/>
      <c r="AO990" s="57"/>
    </row>
    <row r="991" spans="6:41">
      <c r="F991" s="31"/>
      <c r="M991" s="31"/>
      <c r="U991" s="31"/>
      <c r="AC991" s="31"/>
      <c r="AO991" s="57"/>
    </row>
    <row r="992" spans="6:41">
      <c r="F992" s="31"/>
      <c r="M992" s="31"/>
      <c r="U992" s="31"/>
      <c r="AC992" s="31"/>
      <c r="AO992" s="57"/>
    </row>
    <row r="993" spans="6:41">
      <c r="F993" s="31"/>
      <c r="M993" s="31"/>
      <c r="U993" s="31"/>
      <c r="AC993" s="31"/>
      <c r="AO993" s="57"/>
    </row>
    <row r="994" spans="6:41">
      <c r="F994" s="31"/>
      <c r="M994" s="31"/>
      <c r="U994" s="31"/>
      <c r="AC994" s="31"/>
      <c r="AO994" s="57"/>
    </row>
    <row r="995" spans="6:41">
      <c r="F995" s="31"/>
      <c r="M995" s="31"/>
      <c r="U995" s="31"/>
      <c r="AC995" s="31"/>
      <c r="AO995" s="57"/>
    </row>
    <row r="996" spans="6:41">
      <c r="F996" s="31"/>
      <c r="M996" s="31"/>
      <c r="U996" s="31"/>
      <c r="AC996" s="31"/>
      <c r="AO996" s="57"/>
    </row>
    <row r="997" spans="6:41">
      <c r="F997" s="31"/>
      <c r="M997" s="31"/>
      <c r="U997" s="31"/>
      <c r="AC997" s="31"/>
      <c r="AO997" s="57"/>
    </row>
    <row r="998" spans="6:41">
      <c r="F998" s="31"/>
      <c r="M998" s="31"/>
      <c r="U998" s="31"/>
      <c r="AC998" s="31"/>
      <c r="AO998" s="57"/>
    </row>
    <row r="999" spans="6:41">
      <c r="F999" s="31"/>
      <c r="M999" s="31"/>
      <c r="U999" s="31"/>
      <c r="AC999" s="31"/>
      <c r="AO999" s="57"/>
    </row>
    <row r="1000" spans="6:41">
      <c r="F1000" s="31"/>
      <c r="M1000" s="31"/>
      <c r="U1000" s="31"/>
      <c r="AC1000" s="31"/>
      <c r="AO1000" s="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T1000"/>
  <sheetViews>
    <sheetView workbookViewId="0">
      <pane xSplit="6" ySplit="1" topLeftCell="G8"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227</v>
      </c>
      <c r="C2" s="1" t="s">
        <v>179</v>
      </c>
      <c r="D2" s="1">
        <v>172176253</v>
      </c>
      <c r="E2" s="1" t="s">
        <v>175</v>
      </c>
      <c r="F2" s="45" t="s">
        <v>114</v>
      </c>
      <c r="G2" s="1">
        <v>2</v>
      </c>
      <c r="H2" s="1" t="s">
        <v>155</v>
      </c>
      <c r="I2" s="1" t="s">
        <v>22</v>
      </c>
      <c r="J2" s="1" t="s">
        <v>232</v>
      </c>
      <c r="K2" s="1" t="s">
        <v>189</v>
      </c>
      <c r="M2" s="31"/>
      <c r="N2" s="1">
        <v>4</v>
      </c>
      <c r="O2" s="1">
        <v>0</v>
      </c>
      <c r="P2" s="1">
        <v>0</v>
      </c>
      <c r="Q2" s="1">
        <v>0</v>
      </c>
      <c r="R2" s="1">
        <v>0</v>
      </c>
      <c r="S2" s="1" t="s">
        <v>179</v>
      </c>
      <c r="T2" s="1">
        <v>1</v>
      </c>
      <c r="U2" s="45">
        <v>3</v>
      </c>
      <c r="AA2" s="63"/>
      <c r="AC2" s="31"/>
      <c r="AD2" s="1">
        <v>65</v>
      </c>
      <c r="AE2" s="1">
        <v>22.2</v>
      </c>
      <c r="AF2" s="1">
        <v>300</v>
      </c>
      <c r="AG2" s="1">
        <v>7</v>
      </c>
      <c r="AH2" s="1">
        <v>24</v>
      </c>
      <c r="AI2" s="1">
        <v>620</v>
      </c>
      <c r="AJ2" s="1" t="s">
        <v>180</v>
      </c>
      <c r="AK2" s="1">
        <v>21</v>
      </c>
      <c r="AN2" s="32"/>
      <c r="AO2" s="60" t="s">
        <v>203</v>
      </c>
      <c r="AP2" s="1">
        <v>1</v>
      </c>
    </row>
    <row r="3" spans="1:72">
      <c r="A3" s="1">
        <v>2</v>
      </c>
      <c r="B3" s="1" t="s">
        <v>227</v>
      </c>
      <c r="C3" s="1" t="s">
        <v>179</v>
      </c>
      <c r="D3" s="1">
        <v>283105290</v>
      </c>
      <c r="E3" s="1" t="s">
        <v>194</v>
      </c>
      <c r="F3" s="45" t="s">
        <v>98</v>
      </c>
      <c r="G3" s="1">
        <v>1</v>
      </c>
      <c r="H3" s="1" t="s">
        <v>155</v>
      </c>
      <c r="I3" s="1" t="s">
        <v>22</v>
      </c>
      <c r="J3" s="1" t="s">
        <v>176</v>
      </c>
      <c r="K3" s="1" t="s">
        <v>177</v>
      </c>
      <c r="L3" s="1" t="s">
        <v>178</v>
      </c>
      <c r="M3" s="45" t="s">
        <v>22</v>
      </c>
      <c r="N3" s="1">
        <v>5</v>
      </c>
      <c r="O3" s="1">
        <v>0</v>
      </c>
      <c r="P3" s="1">
        <v>0</v>
      </c>
      <c r="Q3" s="1">
        <v>0</v>
      </c>
      <c r="R3" s="1">
        <v>0</v>
      </c>
      <c r="S3" s="35" t="s">
        <v>179</v>
      </c>
      <c r="T3" s="1">
        <v>3</v>
      </c>
      <c r="U3" s="31"/>
      <c r="AA3" s="63"/>
      <c r="AC3" s="31"/>
      <c r="AD3" s="1">
        <v>91</v>
      </c>
      <c r="AE3" s="1">
        <v>28.8</v>
      </c>
      <c r="AF3" s="35">
        <v>300</v>
      </c>
      <c r="AG3" s="35">
        <v>7</v>
      </c>
      <c r="AH3" s="35">
        <v>24</v>
      </c>
      <c r="AI3" s="1">
        <v>620</v>
      </c>
      <c r="AJ3" s="35" t="s">
        <v>180</v>
      </c>
      <c r="AK3" s="1">
        <v>3</v>
      </c>
      <c r="AM3" s="1">
        <v>1</v>
      </c>
      <c r="AN3" s="43" t="s">
        <v>328</v>
      </c>
      <c r="AO3" s="60" t="s">
        <v>157</v>
      </c>
      <c r="AP3" s="35">
        <v>1</v>
      </c>
    </row>
    <row r="4" spans="1:72">
      <c r="A4" s="36">
        <v>3</v>
      </c>
      <c r="B4" s="36" t="s">
        <v>227</v>
      </c>
      <c r="C4" s="36" t="s">
        <v>157</v>
      </c>
      <c r="D4" s="36">
        <v>290077840</v>
      </c>
      <c r="E4" s="36" t="s">
        <v>225</v>
      </c>
      <c r="F4" s="58" t="s">
        <v>122</v>
      </c>
      <c r="G4" s="36">
        <v>1</v>
      </c>
      <c r="H4" s="36" t="s">
        <v>155</v>
      </c>
      <c r="I4" s="36" t="s">
        <v>22</v>
      </c>
      <c r="J4" s="36" t="s">
        <v>176</v>
      </c>
      <c r="K4" s="36" t="s">
        <v>177</v>
      </c>
      <c r="L4" s="36" t="s">
        <v>22</v>
      </c>
      <c r="M4" s="58" t="s">
        <v>178</v>
      </c>
      <c r="N4" s="36">
        <v>6</v>
      </c>
      <c r="O4" s="36">
        <v>0</v>
      </c>
      <c r="P4" s="36">
        <v>4</v>
      </c>
      <c r="Q4" s="36">
        <v>0</v>
      </c>
      <c r="R4" s="36">
        <v>0</v>
      </c>
      <c r="S4" s="40" t="s">
        <v>179</v>
      </c>
      <c r="T4" s="36">
        <v>3</v>
      </c>
      <c r="U4" s="39"/>
      <c r="V4" s="37"/>
      <c r="W4" s="37"/>
      <c r="X4" s="37"/>
      <c r="Y4" s="37"/>
      <c r="Z4" s="37"/>
      <c r="AA4" s="64"/>
      <c r="AB4" s="37"/>
      <c r="AC4" s="39"/>
      <c r="AD4" s="36">
        <v>50</v>
      </c>
      <c r="AE4" s="36">
        <v>9.1</v>
      </c>
      <c r="AF4" s="40">
        <v>300</v>
      </c>
      <c r="AG4" s="40">
        <v>7</v>
      </c>
      <c r="AH4" s="40">
        <v>24</v>
      </c>
      <c r="AI4" s="36">
        <v>7</v>
      </c>
      <c r="AJ4" s="40" t="s">
        <v>180</v>
      </c>
      <c r="AK4" s="36">
        <v>21</v>
      </c>
      <c r="AL4" s="37"/>
      <c r="AM4" s="37"/>
      <c r="AN4" s="41"/>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227</v>
      </c>
      <c r="C5" s="1" t="s">
        <v>179</v>
      </c>
      <c r="D5" s="1">
        <v>172176256</v>
      </c>
      <c r="E5" s="1" t="s">
        <v>175</v>
      </c>
      <c r="F5" s="45" t="s">
        <v>114</v>
      </c>
      <c r="G5" s="1">
        <v>2</v>
      </c>
      <c r="H5" s="1" t="s">
        <v>155</v>
      </c>
      <c r="I5" s="1" t="s">
        <v>22</v>
      </c>
      <c r="J5" s="1" t="s">
        <v>232</v>
      </c>
      <c r="K5" s="1" t="s">
        <v>189</v>
      </c>
      <c r="M5" s="31"/>
      <c r="N5" s="1">
        <v>4</v>
      </c>
      <c r="O5" s="1">
        <v>0</v>
      </c>
      <c r="P5" s="1">
        <v>3</v>
      </c>
      <c r="Q5" s="1">
        <v>1</v>
      </c>
      <c r="R5" s="1">
        <v>0</v>
      </c>
      <c r="S5" s="35" t="s">
        <v>179</v>
      </c>
      <c r="T5" s="1">
        <v>1</v>
      </c>
      <c r="U5" s="45">
        <v>3</v>
      </c>
      <c r="AA5" s="63"/>
      <c r="AC5" s="31"/>
      <c r="AD5" s="1">
        <v>59</v>
      </c>
      <c r="AE5" s="1">
        <v>19.899999999999999</v>
      </c>
      <c r="AF5" s="35">
        <v>300</v>
      </c>
      <c r="AG5" s="35">
        <v>7</v>
      </c>
      <c r="AH5" s="35">
        <v>24</v>
      </c>
      <c r="AI5" s="1">
        <v>7</v>
      </c>
      <c r="AJ5" s="35" t="s">
        <v>180</v>
      </c>
      <c r="AK5" s="1">
        <v>21</v>
      </c>
      <c r="AN5" s="32"/>
      <c r="AO5" s="60" t="s">
        <v>203</v>
      </c>
      <c r="AP5" s="35">
        <v>1</v>
      </c>
    </row>
    <row r="6" spans="1:72">
      <c r="A6" s="1">
        <v>5</v>
      </c>
      <c r="B6" s="1" t="s">
        <v>227</v>
      </c>
      <c r="C6" s="1" t="s">
        <v>179</v>
      </c>
      <c r="D6" s="1">
        <v>172176257</v>
      </c>
      <c r="E6" s="35" t="s">
        <v>175</v>
      </c>
      <c r="F6" s="45" t="s">
        <v>114</v>
      </c>
      <c r="G6" s="1">
        <v>2</v>
      </c>
      <c r="H6" s="1" t="s">
        <v>155</v>
      </c>
      <c r="I6" s="1" t="s">
        <v>22</v>
      </c>
      <c r="J6" s="1" t="s">
        <v>264</v>
      </c>
      <c r="K6" s="1" t="s">
        <v>189</v>
      </c>
      <c r="M6" s="31"/>
      <c r="N6" s="1">
        <v>5</v>
      </c>
      <c r="O6" s="1">
        <v>0</v>
      </c>
      <c r="P6" s="1">
        <v>0</v>
      </c>
      <c r="Q6" s="1">
        <v>0</v>
      </c>
      <c r="R6" s="1">
        <v>3</v>
      </c>
      <c r="S6" s="35" t="s">
        <v>179</v>
      </c>
      <c r="T6" s="1">
        <v>1</v>
      </c>
      <c r="U6" s="45">
        <v>2</v>
      </c>
      <c r="AA6" s="63"/>
      <c r="AC6" s="31"/>
      <c r="AD6" s="1">
        <v>63</v>
      </c>
      <c r="AE6" s="1">
        <v>21.8</v>
      </c>
      <c r="AF6" s="35">
        <v>300</v>
      </c>
      <c r="AG6" s="35">
        <v>7</v>
      </c>
      <c r="AH6" s="35">
        <v>24</v>
      </c>
      <c r="AI6" s="1">
        <v>7</v>
      </c>
      <c r="AJ6" s="35" t="s">
        <v>180</v>
      </c>
      <c r="AK6" s="1">
        <v>8</v>
      </c>
      <c r="AN6" s="32"/>
      <c r="AO6" s="60" t="s">
        <v>203</v>
      </c>
      <c r="AP6" s="35">
        <v>1</v>
      </c>
    </row>
    <row r="7" spans="1:72">
      <c r="A7" s="36">
        <v>6</v>
      </c>
      <c r="B7" s="36" t="s">
        <v>227</v>
      </c>
      <c r="C7" s="36" t="s">
        <v>179</v>
      </c>
      <c r="D7" s="36">
        <v>282185240</v>
      </c>
      <c r="E7" s="40" t="s">
        <v>175</v>
      </c>
      <c r="F7" s="58" t="s">
        <v>114</v>
      </c>
      <c r="G7" s="36">
        <v>2</v>
      </c>
      <c r="H7" s="36" t="s">
        <v>155</v>
      </c>
      <c r="I7" s="36" t="s">
        <v>22</v>
      </c>
      <c r="J7" s="36" t="s">
        <v>232</v>
      </c>
      <c r="K7" s="36" t="s">
        <v>189</v>
      </c>
      <c r="L7" s="37"/>
      <c r="M7" s="39"/>
      <c r="N7" s="36">
        <v>5</v>
      </c>
      <c r="O7" s="36">
        <v>0</v>
      </c>
      <c r="P7" s="36">
        <v>0</v>
      </c>
      <c r="Q7" s="36">
        <v>1</v>
      </c>
      <c r="R7" s="36">
        <v>0</v>
      </c>
      <c r="S7" s="40" t="s">
        <v>179</v>
      </c>
      <c r="T7" s="36">
        <v>1</v>
      </c>
      <c r="U7" s="58">
        <v>3</v>
      </c>
      <c r="V7" s="37"/>
      <c r="W7" s="37"/>
      <c r="X7" s="37"/>
      <c r="Y7" s="37"/>
      <c r="Z7" s="37"/>
      <c r="AA7" s="64"/>
      <c r="AB7" s="37"/>
      <c r="AC7" s="39"/>
      <c r="AD7" s="36">
        <v>65</v>
      </c>
      <c r="AE7" s="36">
        <v>22</v>
      </c>
      <c r="AF7" s="40">
        <v>300</v>
      </c>
      <c r="AG7" s="40">
        <v>7</v>
      </c>
      <c r="AH7" s="40">
        <v>24</v>
      </c>
      <c r="AI7" s="36">
        <v>7</v>
      </c>
      <c r="AJ7" s="40" t="s">
        <v>180</v>
      </c>
      <c r="AK7" s="36">
        <v>21</v>
      </c>
      <c r="AL7" s="37"/>
      <c r="AM7" s="37"/>
      <c r="AN7" s="41"/>
      <c r="AO7" s="61" t="s">
        <v>157</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227</v>
      </c>
      <c r="C8" s="1" t="s">
        <v>179</v>
      </c>
      <c r="D8" s="1">
        <v>172176259</v>
      </c>
      <c r="E8" s="35" t="s">
        <v>175</v>
      </c>
      <c r="F8" s="45" t="s">
        <v>114</v>
      </c>
      <c r="G8" s="1">
        <v>2</v>
      </c>
      <c r="H8" s="1" t="s">
        <v>155</v>
      </c>
      <c r="I8" s="1" t="s">
        <v>22</v>
      </c>
      <c r="J8" s="1" t="s">
        <v>232</v>
      </c>
      <c r="K8" s="1" t="s">
        <v>189</v>
      </c>
      <c r="M8" s="31"/>
      <c r="N8" s="1">
        <v>4</v>
      </c>
      <c r="O8" s="1">
        <v>0</v>
      </c>
      <c r="P8" s="1">
        <v>0</v>
      </c>
      <c r="Q8" s="1">
        <v>0</v>
      </c>
      <c r="R8" s="1">
        <v>0</v>
      </c>
      <c r="S8" s="35" t="s">
        <v>179</v>
      </c>
      <c r="T8" s="1">
        <v>1</v>
      </c>
      <c r="U8" s="45">
        <v>3</v>
      </c>
      <c r="AA8" s="63"/>
      <c r="AC8" s="31"/>
      <c r="AD8" s="1">
        <v>64</v>
      </c>
      <c r="AE8" s="1">
        <v>20.5</v>
      </c>
      <c r="AF8" s="35">
        <v>300</v>
      </c>
      <c r="AG8" s="35">
        <v>7</v>
      </c>
      <c r="AH8" s="35">
        <v>24</v>
      </c>
      <c r="AI8" s="1">
        <v>740</v>
      </c>
      <c r="AJ8" s="35" t="s">
        <v>180</v>
      </c>
      <c r="AK8" s="1">
        <v>7</v>
      </c>
      <c r="AN8" s="32"/>
      <c r="AO8" s="60" t="s">
        <v>203</v>
      </c>
      <c r="AP8" s="35">
        <v>1</v>
      </c>
    </row>
    <row r="9" spans="1:72">
      <c r="A9" s="1">
        <v>8</v>
      </c>
      <c r="B9" s="1" t="s">
        <v>227</v>
      </c>
      <c r="C9" s="1" t="s">
        <v>179</v>
      </c>
      <c r="D9" s="1">
        <v>172176260</v>
      </c>
      <c r="E9" s="35" t="s">
        <v>175</v>
      </c>
      <c r="F9" s="45" t="s">
        <v>114</v>
      </c>
      <c r="G9" s="1">
        <v>1</v>
      </c>
      <c r="H9" s="1" t="s">
        <v>155</v>
      </c>
      <c r="I9" s="1" t="s">
        <v>22</v>
      </c>
      <c r="J9" s="1" t="s">
        <v>176</v>
      </c>
      <c r="K9" s="1" t="s">
        <v>177</v>
      </c>
      <c r="L9" s="1" t="s">
        <v>178</v>
      </c>
      <c r="M9" s="45" t="s">
        <v>22</v>
      </c>
      <c r="N9" s="1">
        <v>6</v>
      </c>
      <c r="O9" s="1">
        <v>0</v>
      </c>
      <c r="P9" s="1">
        <v>4</v>
      </c>
      <c r="Q9" s="1">
        <v>1</v>
      </c>
      <c r="R9" s="1">
        <v>1</v>
      </c>
      <c r="S9" s="35" t="s">
        <v>179</v>
      </c>
      <c r="T9" s="1">
        <v>3</v>
      </c>
      <c r="U9" s="31"/>
      <c r="AA9" s="63"/>
      <c r="AC9" s="31"/>
      <c r="AD9" s="1">
        <v>64</v>
      </c>
      <c r="AE9" s="1">
        <v>24.5</v>
      </c>
      <c r="AF9" s="35">
        <v>300</v>
      </c>
      <c r="AG9" s="35">
        <v>7</v>
      </c>
      <c r="AH9" s="35">
        <v>24</v>
      </c>
      <c r="AI9" s="1">
        <v>740</v>
      </c>
      <c r="AJ9" s="35" t="s">
        <v>180</v>
      </c>
      <c r="AK9" s="1">
        <v>20</v>
      </c>
      <c r="AN9" s="32"/>
      <c r="AO9" s="60" t="s">
        <v>203</v>
      </c>
      <c r="AP9" s="35">
        <v>1</v>
      </c>
    </row>
    <row r="10" spans="1:72">
      <c r="A10" s="36">
        <v>9</v>
      </c>
      <c r="B10" s="36" t="s">
        <v>227</v>
      </c>
      <c r="C10" s="36" t="s">
        <v>179</v>
      </c>
      <c r="D10" s="36">
        <v>288029969</v>
      </c>
      <c r="E10" s="40" t="s">
        <v>225</v>
      </c>
      <c r="F10" s="58" t="s">
        <v>122</v>
      </c>
      <c r="G10" s="36">
        <v>2</v>
      </c>
      <c r="H10" s="36" t="s">
        <v>155</v>
      </c>
      <c r="I10" s="36" t="s">
        <v>220</v>
      </c>
      <c r="J10" s="36" t="s">
        <v>232</v>
      </c>
      <c r="K10" s="36" t="s">
        <v>177</v>
      </c>
      <c r="L10" s="36" t="s">
        <v>22</v>
      </c>
      <c r="M10" s="39"/>
      <c r="N10" s="36">
        <v>3</v>
      </c>
      <c r="O10" s="36">
        <v>0</v>
      </c>
      <c r="P10" s="36">
        <v>0</v>
      </c>
      <c r="Q10" s="36">
        <v>1</v>
      </c>
      <c r="R10" s="36">
        <v>1</v>
      </c>
      <c r="S10" s="40" t="s">
        <v>179</v>
      </c>
      <c r="T10" s="36">
        <v>1</v>
      </c>
      <c r="U10" s="58">
        <v>3</v>
      </c>
      <c r="V10" s="37"/>
      <c r="W10" s="37"/>
      <c r="X10" s="37"/>
      <c r="Y10" s="37"/>
      <c r="Z10" s="37"/>
      <c r="AA10" s="64"/>
      <c r="AB10" s="37"/>
      <c r="AC10" s="39"/>
      <c r="AD10" s="36">
        <v>51</v>
      </c>
      <c r="AE10" s="36">
        <v>9.8000000000000007</v>
      </c>
      <c r="AF10" s="40">
        <v>300</v>
      </c>
      <c r="AG10" s="40">
        <v>7</v>
      </c>
      <c r="AH10" s="40">
        <v>24</v>
      </c>
      <c r="AI10" s="36">
        <v>810</v>
      </c>
      <c r="AJ10" s="40" t="s">
        <v>180</v>
      </c>
      <c r="AK10" s="36">
        <v>21</v>
      </c>
      <c r="AL10" s="37"/>
      <c r="AM10" s="37"/>
      <c r="AN10" s="41"/>
      <c r="AO10" s="61">
        <v>0</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227</v>
      </c>
      <c r="C11" s="1" t="s">
        <v>179</v>
      </c>
      <c r="D11" s="1">
        <v>172176261</v>
      </c>
      <c r="E11" s="35" t="s">
        <v>194</v>
      </c>
      <c r="F11" s="45" t="s">
        <v>98</v>
      </c>
      <c r="G11" s="1">
        <v>2</v>
      </c>
      <c r="H11" s="1" t="s">
        <v>22</v>
      </c>
      <c r="I11" s="1" t="s">
        <v>155</v>
      </c>
      <c r="J11" s="1" t="s">
        <v>264</v>
      </c>
      <c r="K11" s="1" t="s">
        <v>189</v>
      </c>
      <c r="M11" s="31"/>
      <c r="N11" s="1">
        <v>3</v>
      </c>
      <c r="O11" s="1">
        <v>0</v>
      </c>
      <c r="P11" s="1">
        <v>0</v>
      </c>
      <c r="Q11" s="1">
        <v>0</v>
      </c>
      <c r="R11" s="1">
        <v>3</v>
      </c>
      <c r="S11" s="35" t="s">
        <v>179</v>
      </c>
      <c r="T11" s="1">
        <v>1</v>
      </c>
      <c r="U11" s="45">
        <v>2</v>
      </c>
      <c r="AA11" s="63"/>
      <c r="AC11" s="31"/>
      <c r="AD11" s="1">
        <v>96</v>
      </c>
      <c r="AE11" s="1">
        <v>32</v>
      </c>
      <c r="AF11" s="35">
        <v>300</v>
      </c>
      <c r="AG11" s="35">
        <v>7</v>
      </c>
      <c r="AH11" s="35">
        <v>24</v>
      </c>
      <c r="AI11" s="1">
        <v>810</v>
      </c>
      <c r="AJ11" s="35" t="s">
        <v>180</v>
      </c>
      <c r="AK11" s="1">
        <v>21</v>
      </c>
      <c r="AN11" s="32"/>
      <c r="AO11" s="60" t="s">
        <v>203</v>
      </c>
      <c r="AP11" s="35">
        <v>1</v>
      </c>
    </row>
    <row r="12" spans="1:72">
      <c r="A12" s="1">
        <v>11</v>
      </c>
      <c r="B12" s="1" t="s">
        <v>227</v>
      </c>
      <c r="C12" s="1" t="s">
        <v>179</v>
      </c>
      <c r="D12" s="1">
        <v>172176262</v>
      </c>
      <c r="E12" s="35" t="s">
        <v>194</v>
      </c>
      <c r="F12" s="45" t="s">
        <v>98</v>
      </c>
      <c r="G12" s="1">
        <v>2</v>
      </c>
      <c r="H12" s="1" t="s">
        <v>22</v>
      </c>
      <c r="I12" s="1" t="s">
        <v>155</v>
      </c>
      <c r="J12" s="1" t="s">
        <v>264</v>
      </c>
      <c r="K12" s="1" t="s">
        <v>189</v>
      </c>
      <c r="M12" s="31"/>
      <c r="N12" s="1">
        <v>3</v>
      </c>
      <c r="O12" s="1">
        <v>0</v>
      </c>
      <c r="P12" s="1">
        <v>0</v>
      </c>
      <c r="Q12" s="1">
        <v>1</v>
      </c>
      <c r="R12" s="1">
        <v>2</v>
      </c>
      <c r="S12" s="35" t="s">
        <v>179</v>
      </c>
      <c r="T12" s="1">
        <v>1</v>
      </c>
      <c r="U12" s="45">
        <v>2</v>
      </c>
      <c r="AA12" s="63"/>
      <c r="AC12" s="31"/>
      <c r="AD12" s="1">
        <v>93</v>
      </c>
      <c r="AE12" s="1">
        <v>29.7</v>
      </c>
      <c r="AF12" s="35">
        <v>300</v>
      </c>
      <c r="AG12" s="35">
        <v>7</v>
      </c>
      <c r="AH12" s="35">
        <v>24</v>
      </c>
      <c r="AI12" s="1">
        <v>840</v>
      </c>
      <c r="AJ12" s="35" t="s">
        <v>180</v>
      </c>
      <c r="AK12" s="1">
        <v>15</v>
      </c>
      <c r="AN12" s="32"/>
      <c r="AO12" s="60" t="s">
        <v>203</v>
      </c>
      <c r="AP12" s="35">
        <v>1</v>
      </c>
    </row>
    <row r="13" spans="1:72">
      <c r="A13" s="36">
        <v>12</v>
      </c>
      <c r="B13" s="36" t="s">
        <v>227</v>
      </c>
      <c r="C13" s="36" t="s">
        <v>179</v>
      </c>
      <c r="D13" s="36">
        <v>135291879</v>
      </c>
      <c r="E13" s="40" t="s">
        <v>181</v>
      </c>
      <c r="F13" s="58" t="s">
        <v>115</v>
      </c>
      <c r="G13" s="36">
        <v>2</v>
      </c>
      <c r="H13" s="36" t="s">
        <v>22</v>
      </c>
      <c r="I13" s="36" t="s">
        <v>155</v>
      </c>
      <c r="J13" s="36" t="s">
        <v>264</v>
      </c>
      <c r="K13" s="36" t="s">
        <v>189</v>
      </c>
      <c r="L13" s="37"/>
      <c r="M13" s="39"/>
      <c r="N13" s="36">
        <v>5</v>
      </c>
      <c r="O13" s="36">
        <v>0</v>
      </c>
      <c r="P13" s="36">
        <v>0</v>
      </c>
      <c r="Q13" s="36">
        <v>1</v>
      </c>
      <c r="R13" s="36">
        <v>1</v>
      </c>
      <c r="S13" s="40" t="s">
        <v>179</v>
      </c>
      <c r="T13" s="36">
        <v>1</v>
      </c>
      <c r="U13" s="58">
        <v>2</v>
      </c>
      <c r="V13" s="37"/>
      <c r="W13" s="37"/>
      <c r="X13" s="37"/>
      <c r="Y13" s="37"/>
      <c r="Z13" s="37"/>
      <c r="AA13" s="64"/>
      <c r="AB13" s="37"/>
      <c r="AC13" s="39"/>
      <c r="AD13" s="36">
        <v>83</v>
      </c>
      <c r="AE13" s="36">
        <v>42</v>
      </c>
      <c r="AF13" s="40">
        <v>300</v>
      </c>
      <c r="AG13" s="40">
        <v>7</v>
      </c>
      <c r="AH13" s="40">
        <v>24</v>
      </c>
      <c r="AI13" s="36">
        <v>910</v>
      </c>
      <c r="AJ13" s="40" t="s">
        <v>180</v>
      </c>
      <c r="AK13" s="36">
        <v>15</v>
      </c>
      <c r="AL13" s="37"/>
      <c r="AM13" s="37"/>
      <c r="AN13" s="41"/>
      <c r="AO13" s="61">
        <v>2</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227</v>
      </c>
      <c r="C14" s="1" t="s">
        <v>157</v>
      </c>
      <c r="D14" s="1">
        <v>288029950</v>
      </c>
      <c r="E14" s="35" t="s">
        <v>238</v>
      </c>
      <c r="F14" s="45" t="s">
        <v>87</v>
      </c>
      <c r="G14" s="1">
        <v>1</v>
      </c>
      <c r="H14" s="1" t="s">
        <v>155</v>
      </c>
      <c r="J14" s="1" t="s">
        <v>176</v>
      </c>
      <c r="K14" s="1" t="s">
        <v>189</v>
      </c>
      <c r="M14" s="31"/>
      <c r="N14" s="1">
        <v>6</v>
      </c>
      <c r="O14" s="1">
        <v>0</v>
      </c>
      <c r="P14" s="1">
        <v>0</v>
      </c>
      <c r="Q14" s="1">
        <v>1</v>
      </c>
      <c r="R14" s="1">
        <v>1</v>
      </c>
      <c r="S14" s="35" t="s">
        <v>179</v>
      </c>
      <c r="T14" s="1">
        <v>1</v>
      </c>
      <c r="U14" s="31"/>
      <c r="AA14" s="65" t="s">
        <v>157</v>
      </c>
      <c r="AC14" s="31"/>
      <c r="AD14" s="1">
        <v>61</v>
      </c>
      <c r="AE14" s="1">
        <v>9.8000000000000007</v>
      </c>
      <c r="AF14" s="35">
        <v>300</v>
      </c>
      <c r="AG14" s="35">
        <v>7</v>
      </c>
      <c r="AH14" s="35">
        <v>24</v>
      </c>
      <c r="AI14" s="1">
        <v>910</v>
      </c>
      <c r="AJ14" s="35" t="s">
        <v>180</v>
      </c>
      <c r="AK14" s="1">
        <v>14</v>
      </c>
      <c r="AM14" s="1">
        <v>2</v>
      </c>
      <c r="AN14" s="43" t="s">
        <v>329</v>
      </c>
      <c r="AO14" s="60" t="s">
        <v>157</v>
      </c>
      <c r="AP14" s="35">
        <v>1</v>
      </c>
    </row>
    <row r="15" spans="1:72">
      <c r="A15" s="1">
        <v>14</v>
      </c>
      <c r="B15" s="1" t="s">
        <v>227</v>
      </c>
      <c r="C15" s="1" t="s">
        <v>179</v>
      </c>
      <c r="D15" s="1">
        <v>172176264</v>
      </c>
      <c r="E15" s="1" t="s">
        <v>175</v>
      </c>
      <c r="F15" s="45" t="s">
        <v>114</v>
      </c>
      <c r="G15" s="1">
        <v>2</v>
      </c>
      <c r="H15" s="1" t="s">
        <v>155</v>
      </c>
      <c r="I15" s="1" t="s">
        <v>22</v>
      </c>
      <c r="J15" s="1" t="s">
        <v>330</v>
      </c>
      <c r="K15" s="1" t="s">
        <v>189</v>
      </c>
      <c r="M15" s="31"/>
      <c r="N15" s="1">
        <v>5</v>
      </c>
      <c r="O15" s="1">
        <v>0</v>
      </c>
      <c r="P15" s="1">
        <v>0</v>
      </c>
      <c r="Q15" s="1">
        <v>1</v>
      </c>
      <c r="R15" s="1">
        <v>0</v>
      </c>
      <c r="S15" s="35" t="s">
        <v>179</v>
      </c>
      <c r="T15" s="1">
        <v>1</v>
      </c>
      <c r="U15" s="45">
        <v>3</v>
      </c>
      <c r="AA15" s="63"/>
      <c r="AC15" s="31"/>
      <c r="AD15" s="1">
        <v>66</v>
      </c>
      <c r="AE15" s="1">
        <v>22.8</v>
      </c>
      <c r="AF15" s="35">
        <v>300</v>
      </c>
      <c r="AG15" s="35">
        <v>7</v>
      </c>
      <c r="AH15" s="35">
        <v>24</v>
      </c>
      <c r="AI15" s="1">
        <v>950</v>
      </c>
      <c r="AJ15" s="35" t="s">
        <v>180</v>
      </c>
      <c r="AK15" s="1">
        <v>14</v>
      </c>
      <c r="AN15" s="32"/>
      <c r="AO15" s="60" t="s">
        <v>203</v>
      </c>
      <c r="AP15" s="35">
        <v>1</v>
      </c>
    </row>
    <row r="16" spans="1:72">
      <c r="A16" s="36">
        <v>15</v>
      </c>
      <c r="B16" s="36" t="s">
        <v>227</v>
      </c>
      <c r="C16" s="36" t="s">
        <v>157</v>
      </c>
      <c r="D16" s="36">
        <v>290077833</v>
      </c>
      <c r="E16" s="40" t="s">
        <v>235</v>
      </c>
      <c r="F16" s="58" t="s">
        <v>70</v>
      </c>
      <c r="G16" s="36">
        <v>1</v>
      </c>
      <c r="H16" s="36" t="s">
        <v>155</v>
      </c>
      <c r="I16" s="37"/>
      <c r="J16" s="36" t="s">
        <v>176</v>
      </c>
      <c r="K16" s="36" t="s">
        <v>189</v>
      </c>
      <c r="L16" s="37"/>
      <c r="M16" s="39"/>
      <c r="N16" s="36">
        <v>6</v>
      </c>
      <c r="O16" s="36">
        <v>0</v>
      </c>
      <c r="P16" s="36">
        <v>0</v>
      </c>
      <c r="Q16" s="36">
        <v>0</v>
      </c>
      <c r="R16" s="36">
        <v>0</v>
      </c>
      <c r="S16" s="40" t="s">
        <v>179</v>
      </c>
      <c r="T16" s="36">
        <v>4</v>
      </c>
      <c r="U16" s="39"/>
      <c r="V16" s="37"/>
      <c r="W16" s="37"/>
      <c r="X16" s="37"/>
      <c r="Y16" s="37"/>
      <c r="Z16" s="37"/>
      <c r="AA16" s="64"/>
      <c r="AB16" s="37"/>
      <c r="AC16" s="39"/>
      <c r="AD16" s="36">
        <v>65</v>
      </c>
      <c r="AE16" s="40">
        <v>11.2</v>
      </c>
      <c r="AF16" s="40">
        <v>300</v>
      </c>
      <c r="AG16" s="40">
        <v>7</v>
      </c>
      <c r="AH16" s="40">
        <v>24</v>
      </c>
      <c r="AI16" s="36">
        <v>950</v>
      </c>
      <c r="AJ16" s="40" t="s">
        <v>180</v>
      </c>
      <c r="AK16" s="36">
        <v>5</v>
      </c>
      <c r="AL16" s="37"/>
      <c r="AM16" s="37"/>
      <c r="AN16" s="41"/>
      <c r="AO16" s="61" t="s">
        <v>157</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16</v>
      </c>
      <c r="B17" s="1" t="s">
        <v>227</v>
      </c>
      <c r="C17" s="1" t="s">
        <v>157</v>
      </c>
      <c r="E17" s="1" t="s">
        <v>229</v>
      </c>
      <c r="F17" s="45" t="s">
        <v>95</v>
      </c>
      <c r="G17" s="1">
        <v>9</v>
      </c>
      <c r="K17" s="1" t="s">
        <v>189</v>
      </c>
      <c r="M17" s="31"/>
      <c r="U17" s="31"/>
      <c r="AA17" s="63"/>
      <c r="AC17" s="31"/>
      <c r="AF17" s="35">
        <v>300</v>
      </c>
      <c r="AG17" s="35">
        <v>7</v>
      </c>
      <c r="AH17" s="35">
        <v>24</v>
      </c>
      <c r="AI17" s="1">
        <v>950</v>
      </c>
      <c r="AJ17" s="35" t="s">
        <v>180</v>
      </c>
      <c r="AK17" s="1">
        <v>6</v>
      </c>
      <c r="AM17" s="1">
        <v>3</v>
      </c>
      <c r="AN17" s="43" t="s">
        <v>331</v>
      </c>
      <c r="AO17" s="60" t="s">
        <v>157</v>
      </c>
      <c r="AP17" s="35">
        <v>1</v>
      </c>
    </row>
    <row r="18" spans="1:72">
      <c r="A18" s="11">
        <v>17</v>
      </c>
      <c r="B18" s="11" t="s">
        <v>227</v>
      </c>
      <c r="C18" s="11" t="s">
        <v>179</v>
      </c>
      <c r="D18" s="11">
        <v>288029974</v>
      </c>
      <c r="E18" s="11" t="s">
        <v>238</v>
      </c>
      <c r="F18" s="59" t="s">
        <v>87</v>
      </c>
      <c r="G18" s="11">
        <v>1</v>
      </c>
      <c r="H18" s="11" t="s">
        <v>155</v>
      </c>
      <c r="I18" s="12"/>
      <c r="J18" s="11" t="s">
        <v>176</v>
      </c>
      <c r="K18" s="11" t="s">
        <v>189</v>
      </c>
      <c r="L18" s="12"/>
      <c r="M18" s="49"/>
      <c r="N18" s="11">
        <v>6</v>
      </c>
      <c r="O18" s="11">
        <v>0</v>
      </c>
      <c r="P18" s="11">
        <v>0</v>
      </c>
      <c r="Q18" s="11">
        <v>2</v>
      </c>
      <c r="R18" s="11">
        <v>4</v>
      </c>
      <c r="S18" s="11" t="s">
        <v>179</v>
      </c>
      <c r="T18" s="11">
        <v>1</v>
      </c>
      <c r="U18" s="49"/>
      <c r="V18" s="12"/>
      <c r="W18" s="12"/>
      <c r="X18" s="12"/>
      <c r="Y18" s="12"/>
      <c r="Z18" s="12"/>
      <c r="AA18" s="66"/>
      <c r="AB18" s="12"/>
      <c r="AC18" s="49"/>
      <c r="AD18" s="11">
        <v>59</v>
      </c>
      <c r="AE18" s="11">
        <v>10.5</v>
      </c>
      <c r="AF18" s="50">
        <v>300</v>
      </c>
      <c r="AG18" s="50">
        <v>7</v>
      </c>
      <c r="AH18" s="50">
        <v>24</v>
      </c>
      <c r="AI18" s="11">
        <v>1030</v>
      </c>
      <c r="AJ18" s="50" t="s">
        <v>180</v>
      </c>
      <c r="AK18" s="11">
        <v>5</v>
      </c>
      <c r="AL18" s="12"/>
      <c r="AM18" s="11">
        <v>4</v>
      </c>
      <c r="AN18" s="51"/>
      <c r="AO18" s="62">
        <v>0</v>
      </c>
      <c r="AP18" s="50">
        <v>1</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207</v>
      </c>
      <c r="C19" s="1" t="s">
        <v>179</v>
      </c>
      <c r="D19" s="1">
        <v>135291878</v>
      </c>
      <c r="E19" s="35" t="s">
        <v>181</v>
      </c>
      <c r="F19" s="45" t="s">
        <v>115</v>
      </c>
      <c r="G19" s="1">
        <v>2</v>
      </c>
      <c r="H19" s="1" t="s">
        <v>183</v>
      </c>
      <c r="J19" s="1" t="s">
        <v>232</v>
      </c>
      <c r="K19" s="1" t="s">
        <v>189</v>
      </c>
      <c r="M19" s="31"/>
      <c r="O19" s="1">
        <v>0</v>
      </c>
      <c r="P19" s="1">
        <v>0</v>
      </c>
      <c r="Q19" s="1">
        <v>1</v>
      </c>
      <c r="R19" s="1">
        <v>0</v>
      </c>
      <c r="S19" s="1" t="s">
        <v>179</v>
      </c>
      <c r="T19" s="1">
        <v>1</v>
      </c>
      <c r="U19" s="45">
        <v>3</v>
      </c>
      <c r="V19" s="1" t="s">
        <v>183</v>
      </c>
      <c r="AA19" s="63"/>
      <c r="AB19" s="1" t="s">
        <v>183</v>
      </c>
      <c r="AC19" s="31"/>
      <c r="AD19" s="1">
        <v>82</v>
      </c>
      <c r="AE19" s="1">
        <v>38.9</v>
      </c>
      <c r="AF19" s="35">
        <v>300</v>
      </c>
      <c r="AG19" s="35">
        <v>7</v>
      </c>
      <c r="AH19" s="35">
        <v>24</v>
      </c>
      <c r="AI19" s="1">
        <v>620</v>
      </c>
      <c r="AJ19" s="35" t="s">
        <v>180</v>
      </c>
      <c r="AK19" s="1">
        <v>15</v>
      </c>
      <c r="AM19" s="1">
        <v>1</v>
      </c>
      <c r="AN19" s="43" t="s">
        <v>332</v>
      </c>
      <c r="AO19" s="33">
        <v>2</v>
      </c>
      <c r="AP19" s="1">
        <v>2</v>
      </c>
    </row>
    <row r="20" spans="1:72">
      <c r="A20" s="1">
        <v>2</v>
      </c>
      <c r="B20" s="1" t="s">
        <v>207</v>
      </c>
      <c r="C20" s="1" t="s">
        <v>179</v>
      </c>
      <c r="D20" s="1">
        <v>172176255</v>
      </c>
      <c r="E20" s="35" t="s">
        <v>175</v>
      </c>
      <c r="F20" s="45" t="s">
        <v>114</v>
      </c>
      <c r="G20" s="1">
        <v>2</v>
      </c>
      <c r="H20" s="1" t="s">
        <v>183</v>
      </c>
      <c r="J20" s="1" t="s">
        <v>232</v>
      </c>
      <c r="K20" s="1" t="s">
        <v>189</v>
      </c>
      <c r="M20" s="31"/>
      <c r="O20" s="1">
        <v>0</v>
      </c>
      <c r="P20" s="1">
        <v>0</v>
      </c>
      <c r="Q20" s="1">
        <v>0</v>
      </c>
      <c r="R20" s="1">
        <v>0</v>
      </c>
      <c r="S20" s="1" t="s">
        <v>179</v>
      </c>
      <c r="T20" s="1">
        <v>1</v>
      </c>
      <c r="U20" s="45">
        <v>3</v>
      </c>
      <c r="V20" s="1" t="s">
        <v>183</v>
      </c>
      <c r="Z20" s="1" t="s">
        <v>183</v>
      </c>
      <c r="AA20" s="63"/>
      <c r="AB20" s="1" t="s">
        <v>183</v>
      </c>
      <c r="AC20" s="31"/>
      <c r="AD20" s="1">
        <v>66</v>
      </c>
      <c r="AE20" s="1">
        <v>21.8</v>
      </c>
      <c r="AF20" s="35">
        <v>300</v>
      </c>
      <c r="AG20" s="35">
        <v>7</v>
      </c>
      <c r="AH20" s="35">
        <v>24</v>
      </c>
      <c r="AI20" s="1">
        <v>7</v>
      </c>
      <c r="AJ20" s="35" t="s">
        <v>180</v>
      </c>
      <c r="AK20" s="1">
        <v>7</v>
      </c>
      <c r="AN20" s="32"/>
      <c r="AO20" s="60" t="s">
        <v>203</v>
      </c>
      <c r="AP20" s="35">
        <v>2</v>
      </c>
    </row>
    <row r="21" spans="1:72">
      <c r="A21" s="36">
        <v>3</v>
      </c>
      <c r="B21" s="36" t="s">
        <v>207</v>
      </c>
      <c r="C21" s="36" t="s">
        <v>179</v>
      </c>
      <c r="D21" s="36">
        <v>172176258</v>
      </c>
      <c r="E21" s="40" t="s">
        <v>175</v>
      </c>
      <c r="F21" s="58" t="s">
        <v>114</v>
      </c>
      <c r="G21" s="36">
        <v>2</v>
      </c>
      <c r="H21" s="36" t="s">
        <v>183</v>
      </c>
      <c r="I21" s="37"/>
      <c r="J21" s="36" t="s">
        <v>232</v>
      </c>
      <c r="K21" s="36" t="s">
        <v>189</v>
      </c>
      <c r="L21" s="37"/>
      <c r="M21" s="39"/>
      <c r="N21" s="37"/>
      <c r="O21" s="36">
        <v>0</v>
      </c>
      <c r="P21" s="36">
        <v>0</v>
      </c>
      <c r="Q21" s="36">
        <v>0</v>
      </c>
      <c r="R21" s="36">
        <v>0</v>
      </c>
      <c r="S21" s="36" t="s">
        <v>179</v>
      </c>
      <c r="T21" s="36">
        <v>2</v>
      </c>
      <c r="U21" s="58">
        <v>3</v>
      </c>
      <c r="V21" s="36" t="s">
        <v>183</v>
      </c>
      <c r="W21" s="37"/>
      <c r="X21" s="37"/>
      <c r="Y21" s="37"/>
      <c r="Z21" s="37"/>
      <c r="AA21" s="64"/>
      <c r="AB21" s="37"/>
      <c r="AC21" s="39"/>
      <c r="AD21" s="36">
        <v>61</v>
      </c>
      <c r="AE21" s="36">
        <v>20</v>
      </c>
      <c r="AF21" s="40">
        <v>300</v>
      </c>
      <c r="AG21" s="40">
        <v>7</v>
      </c>
      <c r="AH21" s="40">
        <v>24</v>
      </c>
      <c r="AI21" s="36">
        <v>7</v>
      </c>
      <c r="AJ21" s="40" t="s">
        <v>180</v>
      </c>
      <c r="AK21" s="36">
        <v>21</v>
      </c>
      <c r="AL21" s="37"/>
      <c r="AM21" s="37"/>
      <c r="AN21" s="41"/>
      <c r="AO21" s="61" t="s">
        <v>203</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207</v>
      </c>
      <c r="C22" s="1" t="s">
        <v>179</v>
      </c>
      <c r="D22" s="1">
        <v>288029968</v>
      </c>
      <c r="E22" s="35" t="s">
        <v>225</v>
      </c>
      <c r="F22" s="45" t="s">
        <v>122</v>
      </c>
      <c r="G22" s="1">
        <v>2</v>
      </c>
      <c r="H22" s="1" t="s">
        <v>183</v>
      </c>
      <c r="J22" s="1" t="s">
        <v>264</v>
      </c>
      <c r="K22" s="1" t="s">
        <v>189</v>
      </c>
      <c r="M22" s="31"/>
      <c r="O22" s="1">
        <v>0</v>
      </c>
      <c r="P22" s="1">
        <v>0</v>
      </c>
      <c r="Q22" s="1">
        <v>0</v>
      </c>
      <c r="R22" s="1">
        <v>3</v>
      </c>
      <c r="S22" s="1" t="s">
        <v>179</v>
      </c>
      <c r="T22" s="1">
        <v>1</v>
      </c>
      <c r="U22" s="45">
        <v>3</v>
      </c>
      <c r="V22" s="1" t="s">
        <v>183</v>
      </c>
      <c r="W22" s="1" t="s">
        <v>183</v>
      </c>
      <c r="Z22" s="1" t="s">
        <v>183</v>
      </c>
      <c r="AA22" s="63"/>
      <c r="AC22" s="31"/>
      <c r="AD22" s="1">
        <v>55</v>
      </c>
      <c r="AE22" s="1">
        <v>9.6</v>
      </c>
      <c r="AF22" s="35">
        <v>300</v>
      </c>
      <c r="AG22" s="35">
        <v>7</v>
      </c>
      <c r="AH22" s="35">
        <v>24</v>
      </c>
      <c r="AI22" s="1">
        <v>7</v>
      </c>
      <c r="AJ22" s="35" t="s">
        <v>180</v>
      </c>
      <c r="AK22" s="1">
        <v>21</v>
      </c>
      <c r="AN22" s="32"/>
      <c r="AO22" s="60">
        <v>0</v>
      </c>
      <c r="AP22" s="35">
        <v>2</v>
      </c>
    </row>
    <row r="23" spans="1:72">
      <c r="A23" s="1">
        <v>5</v>
      </c>
      <c r="B23" s="1" t="s">
        <v>207</v>
      </c>
      <c r="C23" s="1" t="s">
        <v>157</v>
      </c>
      <c r="D23" s="1">
        <v>284111513</v>
      </c>
      <c r="E23" s="35" t="s">
        <v>181</v>
      </c>
      <c r="F23" s="45" t="s">
        <v>115</v>
      </c>
      <c r="G23" s="1">
        <v>6</v>
      </c>
      <c r="H23" s="1" t="s">
        <v>22</v>
      </c>
      <c r="J23" s="1" t="s">
        <v>188</v>
      </c>
      <c r="K23" s="1" t="s">
        <v>177</v>
      </c>
      <c r="L23" s="1" t="s">
        <v>178</v>
      </c>
      <c r="M23" s="31"/>
      <c r="O23" s="1">
        <v>0</v>
      </c>
      <c r="P23" s="1">
        <v>3</v>
      </c>
      <c r="Q23" s="1">
        <v>0</v>
      </c>
      <c r="R23" s="1">
        <v>0</v>
      </c>
      <c r="S23" s="1" t="s">
        <v>179</v>
      </c>
      <c r="T23" s="1">
        <v>3</v>
      </c>
      <c r="U23" s="45">
        <v>0</v>
      </c>
      <c r="V23" s="1" t="s">
        <v>178</v>
      </c>
      <c r="AA23" s="63"/>
      <c r="AC23" s="31"/>
      <c r="AD23" s="1">
        <v>79</v>
      </c>
      <c r="AE23" s="1">
        <v>32.200000000000003</v>
      </c>
      <c r="AF23" s="35">
        <v>300</v>
      </c>
      <c r="AG23" s="35">
        <v>7</v>
      </c>
      <c r="AH23" s="35">
        <v>24</v>
      </c>
      <c r="AI23" s="1">
        <v>740</v>
      </c>
      <c r="AJ23" s="35" t="s">
        <v>180</v>
      </c>
      <c r="AK23" s="1">
        <v>6</v>
      </c>
      <c r="AM23" s="1">
        <v>2</v>
      </c>
      <c r="AN23" s="43" t="s">
        <v>333</v>
      </c>
      <c r="AO23" s="60" t="s">
        <v>157</v>
      </c>
      <c r="AP23" s="35">
        <v>2</v>
      </c>
    </row>
    <row r="24" spans="1:72">
      <c r="A24" s="36">
        <v>6</v>
      </c>
      <c r="B24" s="36" t="s">
        <v>207</v>
      </c>
      <c r="C24" s="36" t="s">
        <v>157</v>
      </c>
      <c r="D24" s="36">
        <v>281191236</v>
      </c>
      <c r="E24" s="36" t="s">
        <v>206</v>
      </c>
      <c r="F24" s="58" t="s">
        <v>105</v>
      </c>
      <c r="G24" s="36">
        <v>6</v>
      </c>
      <c r="H24" s="36" t="s">
        <v>22</v>
      </c>
      <c r="I24" s="37"/>
      <c r="J24" s="36" t="s">
        <v>188</v>
      </c>
      <c r="K24" s="36" t="s">
        <v>177</v>
      </c>
      <c r="L24" s="36" t="s">
        <v>178</v>
      </c>
      <c r="M24" s="58" t="s">
        <v>22</v>
      </c>
      <c r="N24" s="37"/>
      <c r="O24" s="36">
        <v>0</v>
      </c>
      <c r="P24" s="36">
        <v>3</v>
      </c>
      <c r="Q24" s="36">
        <v>1</v>
      </c>
      <c r="R24" s="36">
        <v>0</v>
      </c>
      <c r="S24" s="36" t="s">
        <v>179</v>
      </c>
      <c r="T24" s="36">
        <v>3</v>
      </c>
      <c r="U24" s="39"/>
      <c r="V24" s="36" t="s">
        <v>178</v>
      </c>
      <c r="W24" s="36" t="s">
        <v>178</v>
      </c>
      <c r="X24" s="37"/>
      <c r="Y24" s="37"/>
      <c r="Z24" s="37"/>
      <c r="AA24" s="67" t="s">
        <v>178</v>
      </c>
      <c r="AB24" s="37"/>
      <c r="AC24" s="39"/>
      <c r="AD24" s="36">
        <v>78</v>
      </c>
      <c r="AE24" s="36">
        <v>22.8</v>
      </c>
      <c r="AF24" s="40">
        <v>300</v>
      </c>
      <c r="AG24" s="40">
        <v>7</v>
      </c>
      <c r="AH24" s="40">
        <v>24</v>
      </c>
      <c r="AI24" s="36">
        <v>740</v>
      </c>
      <c r="AJ24" s="40" t="s">
        <v>180</v>
      </c>
      <c r="AK24" s="36">
        <v>14</v>
      </c>
      <c r="AL24" s="37"/>
      <c r="AM24" s="37"/>
      <c r="AN24" s="41"/>
      <c r="AO24" s="61" t="s">
        <v>157</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207</v>
      </c>
      <c r="C25" s="1" t="s">
        <v>179</v>
      </c>
      <c r="D25" s="1">
        <v>281191247</v>
      </c>
      <c r="E25" s="1" t="s">
        <v>204</v>
      </c>
      <c r="F25" s="45" t="s">
        <v>88</v>
      </c>
      <c r="G25" s="1">
        <v>2</v>
      </c>
      <c r="H25" s="1" t="s">
        <v>183</v>
      </c>
      <c r="J25" s="1" t="s">
        <v>232</v>
      </c>
      <c r="K25" s="1" t="s">
        <v>189</v>
      </c>
      <c r="M25" s="31"/>
      <c r="N25" s="1">
        <v>3</v>
      </c>
      <c r="O25" s="1">
        <v>0</v>
      </c>
      <c r="P25" s="1">
        <v>0</v>
      </c>
      <c r="Q25" s="1">
        <v>0</v>
      </c>
      <c r="R25" s="1">
        <v>0</v>
      </c>
      <c r="S25" s="1" t="s">
        <v>179</v>
      </c>
      <c r="T25" s="1">
        <v>1</v>
      </c>
      <c r="U25" s="45">
        <v>3</v>
      </c>
      <c r="AA25" s="63"/>
      <c r="AC25" s="31"/>
      <c r="AD25" s="1">
        <v>59</v>
      </c>
      <c r="AF25" s="35">
        <v>300</v>
      </c>
      <c r="AG25" s="35">
        <v>7</v>
      </c>
      <c r="AH25" s="35">
        <v>24</v>
      </c>
      <c r="AI25" s="1">
        <v>8</v>
      </c>
      <c r="AJ25" s="35" t="s">
        <v>180</v>
      </c>
      <c r="AK25" s="1">
        <v>5</v>
      </c>
      <c r="AM25" s="1">
        <v>3</v>
      </c>
      <c r="AN25" s="43" t="s">
        <v>334</v>
      </c>
      <c r="AO25" s="60">
        <v>1</v>
      </c>
      <c r="AP25" s="35">
        <v>2</v>
      </c>
    </row>
    <row r="26" spans="1:72">
      <c r="A26" s="1">
        <v>8</v>
      </c>
      <c r="B26" s="1" t="s">
        <v>207</v>
      </c>
      <c r="C26" s="1" t="s">
        <v>179</v>
      </c>
      <c r="D26" s="1">
        <v>281191248</v>
      </c>
      <c r="E26" s="35" t="s">
        <v>204</v>
      </c>
      <c r="F26" s="45" t="s">
        <v>88</v>
      </c>
      <c r="G26" s="1">
        <v>2</v>
      </c>
      <c r="H26" s="1" t="s">
        <v>183</v>
      </c>
      <c r="J26" s="1" t="s">
        <v>232</v>
      </c>
      <c r="K26" s="1" t="s">
        <v>189</v>
      </c>
      <c r="M26" s="31"/>
      <c r="N26" s="1">
        <v>3</v>
      </c>
      <c r="O26" s="1">
        <v>0</v>
      </c>
      <c r="P26" s="1">
        <v>0</v>
      </c>
      <c r="Q26" s="1">
        <v>0</v>
      </c>
      <c r="R26" s="1">
        <v>0</v>
      </c>
      <c r="S26" s="1" t="s">
        <v>179</v>
      </c>
      <c r="T26" s="1">
        <v>1</v>
      </c>
      <c r="U26" s="45">
        <v>3</v>
      </c>
      <c r="V26" s="1" t="s">
        <v>183</v>
      </c>
      <c r="AA26" s="63"/>
      <c r="AC26" s="31"/>
      <c r="AD26" s="1">
        <v>62</v>
      </c>
      <c r="AE26" s="1">
        <v>9.4</v>
      </c>
      <c r="AF26" s="35">
        <v>300</v>
      </c>
      <c r="AG26" s="35">
        <v>7</v>
      </c>
      <c r="AH26" s="35">
        <v>24</v>
      </c>
      <c r="AI26" s="1">
        <v>840</v>
      </c>
      <c r="AJ26" s="35" t="s">
        <v>180</v>
      </c>
      <c r="AK26" s="1">
        <v>5</v>
      </c>
      <c r="AN26" s="32"/>
      <c r="AO26" s="60">
        <v>1</v>
      </c>
      <c r="AP26" s="35">
        <v>2</v>
      </c>
    </row>
    <row r="27" spans="1:72">
      <c r="A27" s="36">
        <v>9</v>
      </c>
      <c r="B27" s="36" t="s">
        <v>207</v>
      </c>
      <c r="C27" s="36" t="s">
        <v>179</v>
      </c>
      <c r="D27" s="36">
        <v>281191249</v>
      </c>
      <c r="E27" s="40" t="s">
        <v>229</v>
      </c>
      <c r="F27" s="58" t="s">
        <v>95</v>
      </c>
      <c r="G27" s="36">
        <v>5</v>
      </c>
      <c r="H27" s="36" t="s">
        <v>178</v>
      </c>
      <c r="I27" s="36" t="s">
        <v>22</v>
      </c>
      <c r="J27" s="36" t="s">
        <v>182</v>
      </c>
      <c r="K27" s="36" t="s">
        <v>177</v>
      </c>
      <c r="L27" s="36" t="s">
        <v>178</v>
      </c>
      <c r="M27" s="39"/>
      <c r="N27" s="36">
        <v>6</v>
      </c>
      <c r="O27" s="36">
        <v>0</v>
      </c>
      <c r="P27" s="36">
        <v>3</v>
      </c>
      <c r="Q27" s="36">
        <v>0</v>
      </c>
      <c r="R27" s="36">
        <v>0</v>
      </c>
      <c r="S27" s="36" t="s">
        <v>179</v>
      </c>
      <c r="T27" s="36">
        <v>1</v>
      </c>
      <c r="U27" s="39"/>
      <c r="V27" s="37"/>
      <c r="W27" s="37"/>
      <c r="X27" s="37"/>
      <c r="Y27" s="37"/>
      <c r="Z27" s="37"/>
      <c r="AA27" s="67" t="s">
        <v>183</v>
      </c>
      <c r="AB27" s="37"/>
      <c r="AC27" s="39"/>
      <c r="AD27" s="36">
        <v>51</v>
      </c>
      <c r="AE27" s="36">
        <v>11.5</v>
      </c>
      <c r="AF27" s="40">
        <v>300</v>
      </c>
      <c r="AG27" s="40">
        <v>7</v>
      </c>
      <c r="AH27" s="40">
        <v>24</v>
      </c>
      <c r="AI27" s="36">
        <v>910</v>
      </c>
      <c r="AJ27" s="40" t="s">
        <v>180</v>
      </c>
      <c r="AK27" s="36">
        <v>21</v>
      </c>
      <c r="AL27" s="37"/>
      <c r="AM27" s="37"/>
      <c r="AN27" s="41"/>
      <c r="AO27" s="61">
        <v>1</v>
      </c>
      <c r="AP27" s="40">
        <v>2</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207</v>
      </c>
      <c r="C28" s="1" t="s">
        <v>179</v>
      </c>
      <c r="D28" s="1">
        <v>288029971</v>
      </c>
      <c r="E28" s="35" t="s">
        <v>238</v>
      </c>
      <c r="F28" s="45" t="s">
        <v>87</v>
      </c>
      <c r="G28" s="1">
        <v>2</v>
      </c>
      <c r="H28" s="1" t="s">
        <v>183</v>
      </c>
      <c r="J28" s="1" t="s">
        <v>232</v>
      </c>
      <c r="K28" s="1" t="s">
        <v>189</v>
      </c>
      <c r="M28" s="31"/>
      <c r="O28" s="1">
        <v>0</v>
      </c>
      <c r="P28" s="1">
        <v>0</v>
      </c>
      <c r="Q28" s="1">
        <v>2</v>
      </c>
      <c r="R28" s="1">
        <v>0</v>
      </c>
      <c r="S28" s="1" t="s">
        <v>179</v>
      </c>
      <c r="T28" s="1">
        <v>1</v>
      </c>
      <c r="U28" s="45">
        <v>3</v>
      </c>
      <c r="V28" s="1" t="s">
        <v>183</v>
      </c>
      <c r="AA28" s="65" t="s">
        <v>183</v>
      </c>
      <c r="AC28" s="31"/>
      <c r="AD28" s="1">
        <v>58</v>
      </c>
      <c r="AF28" s="35">
        <v>300</v>
      </c>
      <c r="AG28" s="35">
        <v>7</v>
      </c>
      <c r="AH28" s="35">
        <v>24</v>
      </c>
      <c r="AI28" s="1">
        <v>910</v>
      </c>
      <c r="AJ28" s="35" t="s">
        <v>180</v>
      </c>
      <c r="AK28" s="1">
        <v>14</v>
      </c>
      <c r="AN28" s="32"/>
      <c r="AO28" s="60">
        <v>0</v>
      </c>
      <c r="AP28" s="35">
        <v>2</v>
      </c>
    </row>
    <row r="29" spans="1:72">
      <c r="A29" s="1">
        <v>11</v>
      </c>
      <c r="B29" s="1" t="s">
        <v>207</v>
      </c>
      <c r="C29" s="1" t="s">
        <v>179</v>
      </c>
      <c r="D29" s="1">
        <v>288029973</v>
      </c>
      <c r="E29" s="35" t="s">
        <v>235</v>
      </c>
      <c r="F29" s="45" t="s">
        <v>70</v>
      </c>
      <c r="G29" s="1">
        <v>5</v>
      </c>
      <c r="H29" s="1" t="s">
        <v>185</v>
      </c>
      <c r="J29" s="1" t="s">
        <v>320</v>
      </c>
      <c r="K29" s="1" t="s">
        <v>177</v>
      </c>
      <c r="L29" s="1" t="s">
        <v>178</v>
      </c>
      <c r="M29" s="31"/>
      <c r="O29" s="1">
        <v>0</v>
      </c>
      <c r="P29" s="1">
        <v>2</v>
      </c>
      <c r="Q29" s="1">
        <v>1</v>
      </c>
      <c r="R29" s="1">
        <v>0</v>
      </c>
      <c r="S29" s="1" t="s">
        <v>179</v>
      </c>
      <c r="T29" s="1">
        <v>4</v>
      </c>
      <c r="U29" s="31"/>
      <c r="W29" s="1" t="s">
        <v>186</v>
      </c>
      <c r="AA29" s="63"/>
      <c r="AC29" s="31"/>
      <c r="AD29" s="1">
        <v>61</v>
      </c>
      <c r="AE29" s="1">
        <v>10.199999999999999</v>
      </c>
      <c r="AF29" s="35">
        <v>300</v>
      </c>
      <c r="AG29" s="35">
        <v>7</v>
      </c>
      <c r="AH29" s="35">
        <v>24</v>
      </c>
      <c r="AI29" s="1">
        <v>950</v>
      </c>
      <c r="AJ29" s="35" t="s">
        <v>180</v>
      </c>
      <c r="AK29" s="1">
        <v>9</v>
      </c>
      <c r="AM29" s="1">
        <v>4</v>
      </c>
      <c r="AN29" s="43" t="s">
        <v>335</v>
      </c>
      <c r="AO29" s="60">
        <v>0</v>
      </c>
      <c r="AP29" s="35">
        <v>2</v>
      </c>
    </row>
    <row r="30" spans="1:72">
      <c r="A30" s="36">
        <v>12</v>
      </c>
      <c r="B30" s="36" t="s">
        <v>207</v>
      </c>
      <c r="C30" s="36" t="s">
        <v>179</v>
      </c>
      <c r="D30" s="36">
        <v>288029975</v>
      </c>
      <c r="E30" s="40" t="s">
        <v>238</v>
      </c>
      <c r="F30" s="58" t="s">
        <v>87</v>
      </c>
      <c r="G30" s="36">
        <v>2</v>
      </c>
      <c r="H30" s="36" t="s">
        <v>183</v>
      </c>
      <c r="I30" s="37"/>
      <c r="J30" s="36" t="s">
        <v>232</v>
      </c>
      <c r="K30" s="36" t="s">
        <v>189</v>
      </c>
      <c r="L30" s="37"/>
      <c r="M30" s="39"/>
      <c r="N30" s="37"/>
      <c r="O30" s="36">
        <v>0</v>
      </c>
      <c r="P30" s="36">
        <v>0</v>
      </c>
      <c r="Q30" s="36">
        <v>1</v>
      </c>
      <c r="R30" s="36">
        <v>0</v>
      </c>
      <c r="S30" s="36" t="s">
        <v>179</v>
      </c>
      <c r="T30" s="36">
        <v>1</v>
      </c>
      <c r="U30" s="58">
        <v>3</v>
      </c>
      <c r="V30" s="37"/>
      <c r="W30" s="37"/>
      <c r="X30" s="37"/>
      <c r="Y30" s="37"/>
      <c r="Z30" s="37"/>
      <c r="AA30" s="67" t="s">
        <v>183</v>
      </c>
      <c r="AB30" s="37"/>
      <c r="AC30" s="39"/>
      <c r="AD30" s="36">
        <v>61</v>
      </c>
      <c r="AE30" s="36">
        <v>11.8</v>
      </c>
      <c r="AF30" s="40">
        <v>300</v>
      </c>
      <c r="AG30" s="40">
        <v>7</v>
      </c>
      <c r="AH30" s="40">
        <v>24</v>
      </c>
      <c r="AI30" s="36">
        <v>1030</v>
      </c>
      <c r="AJ30" s="40" t="s">
        <v>180</v>
      </c>
      <c r="AK30" s="36">
        <v>5</v>
      </c>
      <c r="AL30" s="37"/>
      <c r="AM30" s="37"/>
      <c r="AN30" s="41"/>
      <c r="AO30" s="61">
        <v>0</v>
      </c>
      <c r="AP30" s="40">
        <v>2</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1">
        <v>13</v>
      </c>
      <c r="B31" s="11" t="s">
        <v>207</v>
      </c>
      <c r="C31" s="11" t="s">
        <v>179</v>
      </c>
      <c r="D31" s="11">
        <v>172176265</v>
      </c>
      <c r="E31" s="50" t="s">
        <v>175</v>
      </c>
      <c r="F31" s="59" t="s">
        <v>114</v>
      </c>
      <c r="G31" s="11">
        <v>2</v>
      </c>
      <c r="H31" s="11" t="s">
        <v>183</v>
      </c>
      <c r="I31" s="12"/>
      <c r="J31" s="11" t="s">
        <v>264</v>
      </c>
      <c r="K31" s="11" t="s">
        <v>189</v>
      </c>
      <c r="L31" s="12"/>
      <c r="M31" s="49"/>
      <c r="N31" s="12"/>
      <c r="O31" s="11">
        <v>0</v>
      </c>
      <c r="P31" s="11">
        <v>0</v>
      </c>
      <c r="Q31" s="11">
        <v>1</v>
      </c>
      <c r="R31" s="11">
        <v>1</v>
      </c>
      <c r="S31" s="11" t="s">
        <v>179</v>
      </c>
      <c r="T31" s="11">
        <v>1</v>
      </c>
      <c r="U31" s="59">
        <v>3</v>
      </c>
      <c r="V31" s="12"/>
      <c r="W31" s="12"/>
      <c r="X31" s="12"/>
      <c r="Y31" s="12"/>
      <c r="Z31" s="12"/>
      <c r="AA31" s="66"/>
      <c r="AB31" s="12"/>
      <c r="AC31" s="49"/>
      <c r="AD31" s="11">
        <v>61</v>
      </c>
      <c r="AE31" s="11">
        <v>22.6</v>
      </c>
      <c r="AF31" s="50">
        <v>300</v>
      </c>
      <c r="AG31" s="50">
        <v>7</v>
      </c>
      <c r="AH31" s="50">
        <v>24</v>
      </c>
      <c r="AI31" s="11">
        <v>1030</v>
      </c>
      <c r="AJ31" s="50" t="s">
        <v>180</v>
      </c>
      <c r="AK31" s="11">
        <v>20</v>
      </c>
      <c r="AL31" s="12"/>
      <c r="AM31" s="12"/>
      <c r="AN31" s="51"/>
      <c r="AO31" s="62" t="s">
        <v>203</v>
      </c>
      <c r="AP31" s="50">
        <v>2</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A32" s="1">
        <v>1</v>
      </c>
      <c r="B32" s="1" t="s">
        <v>216</v>
      </c>
      <c r="C32" s="1" t="s">
        <v>179</v>
      </c>
      <c r="D32" s="1">
        <v>172176254</v>
      </c>
      <c r="E32" s="35" t="s">
        <v>194</v>
      </c>
      <c r="F32" s="45" t="s">
        <v>98</v>
      </c>
      <c r="G32" s="1">
        <v>2</v>
      </c>
      <c r="H32" s="1" t="s">
        <v>22</v>
      </c>
      <c r="J32" s="1" t="s">
        <v>232</v>
      </c>
      <c r="K32" s="1" t="s">
        <v>189</v>
      </c>
      <c r="M32" s="31"/>
      <c r="N32" s="1">
        <v>2</v>
      </c>
      <c r="O32" s="1">
        <v>0</v>
      </c>
      <c r="P32" s="1">
        <v>0</v>
      </c>
      <c r="Q32" s="1">
        <v>0</v>
      </c>
      <c r="R32" s="1">
        <v>2</v>
      </c>
      <c r="S32" s="1" t="s">
        <v>179</v>
      </c>
      <c r="T32" s="1">
        <v>1</v>
      </c>
      <c r="U32" s="45">
        <v>2</v>
      </c>
      <c r="AA32" s="63"/>
      <c r="AC32" s="31"/>
      <c r="AD32" s="1">
        <v>88</v>
      </c>
      <c r="AE32" s="1">
        <v>27.6</v>
      </c>
      <c r="AF32" s="35">
        <v>300</v>
      </c>
      <c r="AG32" s="35">
        <v>7</v>
      </c>
      <c r="AH32" s="35">
        <v>24</v>
      </c>
      <c r="AI32" s="1">
        <v>620</v>
      </c>
      <c r="AJ32" s="35" t="s">
        <v>180</v>
      </c>
      <c r="AK32" s="1">
        <v>15</v>
      </c>
      <c r="AN32" s="32"/>
      <c r="AO32" s="33" t="s">
        <v>203</v>
      </c>
      <c r="AP32" s="1">
        <v>3</v>
      </c>
    </row>
    <row r="33" spans="1:72">
      <c r="A33" s="1">
        <v>2</v>
      </c>
      <c r="B33" s="1" t="s">
        <v>216</v>
      </c>
      <c r="C33" s="1" t="s">
        <v>179</v>
      </c>
      <c r="D33" s="1">
        <v>281191246</v>
      </c>
      <c r="E33" s="1" t="s">
        <v>229</v>
      </c>
      <c r="F33" s="45" t="s">
        <v>95</v>
      </c>
      <c r="G33" s="1">
        <v>2</v>
      </c>
      <c r="H33" s="1" t="s">
        <v>22</v>
      </c>
      <c r="J33" s="1" t="s">
        <v>232</v>
      </c>
      <c r="K33" s="1" t="s">
        <v>189</v>
      </c>
      <c r="M33" s="31"/>
      <c r="N33" s="1">
        <v>3</v>
      </c>
      <c r="O33" s="1">
        <v>0</v>
      </c>
      <c r="P33" s="1">
        <v>0</v>
      </c>
      <c r="Q33" s="1">
        <v>1</v>
      </c>
      <c r="R33" s="1">
        <v>0</v>
      </c>
      <c r="S33" s="1" t="s">
        <v>179</v>
      </c>
      <c r="T33" s="1">
        <v>2</v>
      </c>
      <c r="U33" s="45">
        <v>3</v>
      </c>
      <c r="Z33" s="1" t="s">
        <v>183</v>
      </c>
      <c r="AA33" s="63"/>
      <c r="AC33" s="31"/>
      <c r="AD33" s="1">
        <v>51</v>
      </c>
      <c r="AE33" s="1">
        <v>11.8</v>
      </c>
      <c r="AF33" s="35">
        <v>300</v>
      </c>
      <c r="AG33" s="35">
        <v>7</v>
      </c>
      <c r="AH33" s="35">
        <v>24</v>
      </c>
      <c r="AI33" s="1">
        <v>7</v>
      </c>
      <c r="AJ33" s="35" t="s">
        <v>180</v>
      </c>
      <c r="AK33" s="1">
        <v>5</v>
      </c>
      <c r="AN33" s="32"/>
      <c r="AO33" s="33">
        <v>1</v>
      </c>
      <c r="AP33" s="35">
        <v>3</v>
      </c>
    </row>
    <row r="34" spans="1:72">
      <c r="A34" s="36">
        <v>3</v>
      </c>
      <c r="B34" s="36" t="s">
        <v>216</v>
      </c>
      <c r="C34" s="36" t="s">
        <v>157</v>
      </c>
      <c r="D34" s="36">
        <v>804191913</v>
      </c>
      <c r="E34" s="40" t="s">
        <v>181</v>
      </c>
      <c r="F34" s="58" t="s">
        <v>115</v>
      </c>
      <c r="G34" s="36">
        <v>1</v>
      </c>
      <c r="H34" s="36" t="s">
        <v>22</v>
      </c>
      <c r="I34" s="37"/>
      <c r="J34" s="36" t="s">
        <v>278</v>
      </c>
      <c r="K34" s="36" t="s">
        <v>177</v>
      </c>
      <c r="L34" s="36" t="s">
        <v>1</v>
      </c>
      <c r="M34" s="58" t="s">
        <v>22</v>
      </c>
      <c r="N34" s="37"/>
      <c r="O34" s="36">
        <v>0</v>
      </c>
      <c r="P34" s="36">
        <v>1</v>
      </c>
      <c r="Q34" s="36">
        <v>0</v>
      </c>
      <c r="R34" s="36">
        <v>0</v>
      </c>
      <c r="S34" s="36" t="s">
        <v>179</v>
      </c>
      <c r="T34" s="36">
        <v>4</v>
      </c>
      <c r="U34" s="39"/>
      <c r="V34" s="37"/>
      <c r="W34" s="37"/>
      <c r="X34" s="37"/>
      <c r="Y34" s="37"/>
      <c r="Z34" s="36" t="s">
        <v>183</v>
      </c>
      <c r="AA34" s="64"/>
      <c r="AB34" s="37"/>
      <c r="AC34" s="39"/>
      <c r="AD34" s="36">
        <v>84</v>
      </c>
      <c r="AE34" s="37"/>
      <c r="AF34" s="40">
        <v>300</v>
      </c>
      <c r="AG34" s="40">
        <v>7</v>
      </c>
      <c r="AH34" s="40">
        <v>24</v>
      </c>
      <c r="AI34" s="36">
        <v>740</v>
      </c>
      <c r="AJ34" s="40" t="s">
        <v>180</v>
      </c>
      <c r="AK34" s="36">
        <v>14</v>
      </c>
      <c r="AL34" s="37"/>
      <c r="AM34" s="36">
        <v>1</v>
      </c>
      <c r="AN34" s="44" t="s">
        <v>336</v>
      </c>
      <c r="AO34" s="61" t="s">
        <v>157</v>
      </c>
      <c r="AP34" s="36">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4</v>
      </c>
      <c r="B35" s="1" t="s">
        <v>216</v>
      </c>
      <c r="C35" s="1" t="s">
        <v>179</v>
      </c>
      <c r="D35" s="1">
        <v>288029970</v>
      </c>
      <c r="E35" s="35" t="s">
        <v>225</v>
      </c>
      <c r="F35" s="45" t="s">
        <v>122</v>
      </c>
      <c r="G35" s="1">
        <v>2</v>
      </c>
      <c r="H35" s="1" t="s">
        <v>22</v>
      </c>
      <c r="J35" s="1" t="s">
        <v>232</v>
      </c>
      <c r="K35" s="1" t="s">
        <v>189</v>
      </c>
      <c r="M35" s="31"/>
      <c r="N35" s="1">
        <v>1</v>
      </c>
      <c r="O35" s="1">
        <v>0</v>
      </c>
      <c r="P35" s="1">
        <v>0</v>
      </c>
      <c r="Q35" s="1">
        <v>3</v>
      </c>
      <c r="R35" s="1">
        <v>0</v>
      </c>
      <c r="S35" s="1" t="s">
        <v>179</v>
      </c>
      <c r="T35" s="1">
        <v>0</v>
      </c>
      <c r="U35" s="45">
        <v>3</v>
      </c>
      <c r="X35" s="1" t="s">
        <v>183</v>
      </c>
      <c r="AA35" s="65" t="s">
        <v>183</v>
      </c>
      <c r="AB35" s="1" t="s">
        <v>183</v>
      </c>
      <c r="AC35" s="31"/>
      <c r="AD35" s="1">
        <v>48</v>
      </c>
      <c r="AE35" s="1">
        <v>9.1999999999999993</v>
      </c>
      <c r="AF35" s="35">
        <v>300</v>
      </c>
      <c r="AG35" s="35">
        <v>7</v>
      </c>
      <c r="AH35" s="35">
        <v>24</v>
      </c>
      <c r="AI35" s="1">
        <v>810</v>
      </c>
      <c r="AJ35" s="35" t="s">
        <v>180</v>
      </c>
      <c r="AK35" s="1">
        <v>21</v>
      </c>
      <c r="AN35" s="32"/>
      <c r="AO35" s="33">
        <v>0</v>
      </c>
      <c r="AP35" s="35">
        <v>3</v>
      </c>
    </row>
    <row r="36" spans="1:72">
      <c r="A36" s="1">
        <v>5</v>
      </c>
      <c r="B36" s="1" t="s">
        <v>216</v>
      </c>
      <c r="C36" s="1" t="s">
        <v>157</v>
      </c>
      <c r="D36" s="1">
        <v>135291867</v>
      </c>
      <c r="E36" s="1" t="s">
        <v>181</v>
      </c>
      <c r="F36" s="45" t="s">
        <v>115</v>
      </c>
      <c r="G36" s="1">
        <v>5</v>
      </c>
      <c r="H36" s="1" t="s">
        <v>22</v>
      </c>
      <c r="J36" s="1" t="s">
        <v>320</v>
      </c>
      <c r="K36" s="1" t="s">
        <v>189</v>
      </c>
      <c r="M36" s="31"/>
      <c r="O36" s="1">
        <v>0</v>
      </c>
      <c r="P36" s="1">
        <v>0</v>
      </c>
      <c r="Q36" s="1">
        <v>1</v>
      </c>
      <c r="S36" s="1" t="s">
        <v>155</v>
      </c>
      <c r="T36" s="1">
        <v>2</v>
      </c>
      <c r="U36" s="31"/>
      <c r="V36" s="1" t="s">
        <v>183</v>
      </c>
      <c r="W36" s="1" t="s">
        <v>178</v>
      </c>
      <c r="X36" s="1" t="s">
        <v>185</v>
      </c>
      <c r="AA36" s="65" t="s">
        <v>183</v>
      </c>
      <c r="AC36" s="31"/>
      <c r="AD36" s="1">
        <v>80</v>
      </c>
      <c r="AE36" s="1">
        <v>41.8</v>
      </c>
      <c r="AF36" s="35">
        <v>300</v>
      </c>
      <c r="AG36" s="35">
        <v>7</v>
      </c>
      <c r="AH36" s="35">
        <v>24</v>
      </c>
      <c r="AI36" s="1">
        <v>840</v>
      </c>
      <c r="AJ36" s="35" t="s">
        <v>180</v>
      </c>
      <c r="AK36" s="1">
        <v>6</v>
      </c>
      <c r="AM36" s="1">
        <v>2</v>
      </c>
      <c r="AN36" s="43" t="s">
        <v>337</v>
      </c>
      <c r="AO36" s="60" t="s">
        <v>157</v>
      </c>
      <c r="AP36" s="35">
        <v>3</v>
      </c>
    </row>
    <row r="37" spans="1:72">
      <c r="A37" s="36">
        <v>6</v>
      </c>
      <c r="B37" s="36" t="s">
        <v>216</v>
      </c>
      <c r="C37" s="36" t="s">
        <v>179</v>
      </c>
      <c r="D37" s="36">
        <v>172176263</v>
      </c>
      <c r="E37" s="40" t="s">
        <v>175</v>
      </c>
      <c r="F37" s="58" t="s">
        <v>114</v>
      </c>
      <c r="G37" s="36">
        <v>2</v>
      </c>
      <c r="H37" s="36" t="s">
        <v>22</v>
      </c>
      <c r="I37" s="37"/>
      <c r="J37" s="36" t="s">
        <v>200</v>
      </c>
      <c r="K37" s="36" t="s">
        <v>189</v>
      </c>
      <c r="L37" s="37"/>
      <c r="M37" s="39"/>
      <c r="N37" s="36">
        <v>1</v>
      </c>
      <c r="O37" s="36">
        <v>0</v>
      </c>
      <c r="P37" s="36">
        <v>0</v>
      </c>
      <c r="Q37" s="36">
        <v>0</v>
      </c>
      <c r="R37" s="36">
        <v>2</v>
      </c>
      <c r="S37" s="36" t="s">
        <v>179</v>
      </c>
      <c r="T37" s="36">
        <v>1</v>
      </c>
      <c r="U37" s="58">
        <v>3</v>
      </c>
      <c r="V37" s="37"/>
      <c r="W37" s="37"/>
      <c r="X37" s="37"/>
      <c r="Y37" s="37"/>
      <c r="Z37" s="37"/>
      <c r="AA37" s="67" t="s">
        <v>183</v>
      </c>
      <c r="AB37" s="37"/>
      <c r="AC37" s="39"/>
      <c r="AD37" s="36">
        <v>68</v>
      </c>
      <c r="AE37" s="36">
        <v>23.4</v>
      </c>
      <c r="AF37" s="40">
        <v>300</v>
      </c>
      <c r="AG37" s="40">
        <v>7</v>
      </c>
      <c r="AH37" s="40">
        <v>24</v>
      </c>
      <c r="AI37" s="36">
        <v>910</v>
      </c>
      <c r="AJ37" s="40" t="s">
        <v>180</v>
      </c>
      <c r="AK37" s="36">
        <v>20</v>
      </c>
      <c r="AL37" s="37"/>
      <c r="AM37" s="36">
        <v>3</v>
      </c>
      <c r="AN37" s="44" t="s">
        <v>338</v>
      </c>
      <c r="AO37" s="42" t="s">
        <v>203</v>
      </c>
      <c r="AP37" s="40">
        <v>3</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spans="1:72">
      <c r="A38" s="1">
        <v>7</v>
      </c>
      <c r="B38" s="1" t="s">
        <v>216</v>
      </c>
      <c r="C38" s="1" t="s">
        <v>179</v>
      </c>
      <c r="D38" s="1">
        <v>288029972</v>
      </c>
      <c r="E38" s="35" t="s">
        <v>235</v>
      </c>
      <c r="F38" s="45" t="s">
        <v>70</v>
      </c>
      <c r="G38" s="1">
        <v>1</v>
      </c>
      <c r="H38" s="1" t="s">
        <v>22</v>
      </c>
      <c r="I38" s="1" t="s">
        <v>155</v>
      </c>
      <c r="J38" s="1" t="s">
        <v>339</v>
      </c>
      <c r="K38" s="1" t="s">
        <v>189</v>
      </c>
      <c r="M38" s="31"/>
      <c r="N38" s="1">
        <v>6</v>
      </c>
      <c r="O38" s="1">
        <v>0</v>
      </c>
      <c r="P38" s="1">
        <v>0</v>
      </c>
      <c r="Q38" s="1">
        <v>0</v>
      </c>
      <c r="R38" s="1">
        <v>0</v>
      </c>
      <c r="S38" s="1" t="s">
        <v>179</v>
      </c>
      <c r="T38" s="1">
        <v>4</v>
      </c>
      <c r="U38" s="31"/>
      <c r="V38" s="1" t="s">
        <v>177</v>
      </c>
      <c r="W38" s="1" t="s">
        <v>177</v>
      </c>
      <c r="AA38" s="65" t="s">
        <v>183</v>
      </c>
      <c r="AC38" s="31"/>
      <c r="AD38" s="1">
        <v>66</v>
      </c>
      <c r="AE38" s="1">
        <v>11.2</v>
      </c>
      <c r="AF38" s="35">
        <v>300</v>
      </c>
      <c r="AG38" s="35">
        <v>7</v>
      </c>
      <c r="AH38" s="35">
        <v>24</v>
      </c>
      <c r="AI38" s="1">
        <v>950</v>
      </c>
      <c r="AJ38" s="35" t="s">
        <v>180</v>
      </c>
      <c r="AK38" s="1">
        <v>5</v>
      </c>
      <c r="AM38" s="1">
        <v>4</v>
      </c>
      <c r="AN38" s="43" t="s">
        <v>340</v>
      </c>
      <c r="AO38" s="60">
        <v>0</v>
      </c>
      <c r="AP38" s="35">
        <v>3</v>
      </c>
    </row>
    <row r="39" spans="1:72">
      <c r="A39" s="11">
        <v>8</v>
      </c>
      <c r="B39" s="11" t="s">
        <v>216</v>
      </c>
      <c r="C39" s="11" t="s">
        <v>179</v>
      </c>
      <c r="D39" s="11">
        <v>288029976</v>
      </c>
      <c r="E39" s="11" t="s">
        <v>235</v>
      </c>
      <c r="F39" s="59" t="s">
        <v>70</v>
      </c>
      <c r="G39" s="11">
        <v>1</v>
      </c>
      <c r="H39" s="11" t="s">
        <v>155</v>
      </c>
      <c r="I39" s="12"/>
      <c r="J39" s="11" t="s">
        <v>339</v>
      </c>
      <c r="K39" s="11" t="s">
        <v>189</v>
      </c>
      <c r="L39" s="12"/>
      <c r="M39" s="49"/>
      <c r="N39" s="11">
        <v>6</v>
      </c>
      <c r="O39" s="11">
        <v>0</v>
      </c>
      <c r="P39" s="11">
        <v>0</v>
      </c>
      <c r="Q39" s="11">
        <v>0</v>
      </c>
      <c r="R39" s="11">
        <v>0</v>
      </c>
      <c r="S39" s="11" t="s">
        <v>179</v>
      </c>
      <c r="T39" s="11">
        <v>2</v>
      </c>
      <c r="U39" s="49"/>
      <c r="V39" s="12"/>
      <c r="W39" s="12"/>
      <c r="X39" s="12"/>
      <c r="Y39" s="12"/>
      <c r="Z39" s="12"/>
      <c r="AA39" s="66"/>
      <c r="AB39" s="12"/>
      <c r="AC39" s="49"/>
      <c r="AD39" s="11">
        <v>66</v>
      </c>
      <c r="AE39" s="11">
        <v>10.8</v>
      </c>
      <c r="AF39" s="50">
        <v>300</v>
      </c>
      <c r="AG39" s="50">
        <v>7</v>
      </c>
      <c r="AH39" s="50">
        <v>24</v>
      </c>
      <c r="AI39" s="11">
        <v>1030</v>
      </c>
      <c r="AJ39" s="50" t="s">
        <v>180</v>
      </c>
      <c r="AK39" s="11">
        <v>20</v>
      </c>
      <c r="AL39" s="12"/>
      <c r="AM39" s="11">
        <v>5</v>
      </c>
      <c r="AN39" s="54" t="s">
        <v>341</v>
      </c>
      <c r="AO39" s="62">
        <v>0</v>
      </c>
      <c r="AP39" s="11">
        <v>3</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M40" s="31"/>
      <c r="U40" s="31"/>
      <c r="AA40" s="63"/>
      <c r="AC40" s="31"/>
      <c r="AN40" s="32"/>
      <c r="AO40" s="57"/>
    </row>
    <row r="41" spans="1:72">
      <c r="F41" s="31"/>
      <c r="M41" s="31"/>
      <c r="U41" s="31"/>
      <c r="AA41" s="63"/>
      <c r="AC41" s="31"/>
      <c r="AN41" s="32"/>
      <c r="AO41" s="57"/>
    </row>
    <row r="42" spans="1:72">
      <c r="F42" s="31"/>
      <c r="M42" s="31"/>
      <c r="U42" s="31"/>
      <c r="AA42" s="63"/>
      <c r="AC42" s="31"/>
      <c r="AN42" s="32"/>
      <c r="AO42" s="57"/>
    </row>
    <row r="43" spans="1:72">
      <c r="F43" s="31"/>
      <c r="M43" s="31"/>
      <c r="U43" s="31"/>
      <c r="AA43" s="63"/>
      <c r="AC43" s="31"/>
      <c r="AN43" s="32"/>
      <c r="AO43" s="57"/>
    </row>
    <row r="44" spans="1:72">
      <c r="F44" s="31"/>
      <c r="M44" s="31"/>
      <c r="U44" s="31"/>
      <c r="AA44" s="63"/>
      <c r="AC44" s="31"/>
      <c r="AN44" s="32"/>
      <c r="AO44" s="57"/>
    </row>
    <row r="45" spans="1:72">
      <c r="F45" s="31"/>
      <c r="M45" s="31"/>
      <c r="U45" s="31"/>
      <c r="AA45" s="63"/>
      <c r="AC45" s="31"/>
      <c r="AN45" s="32"/>
      <c r="AO45" s="57"/>
    </row>
    <row r="46" spans="1:72">
      <c r="F46" s="31"/>
      <c r="M46" s="31"/>
      <c r="U46" s="31"/>
      <c r="AA46" s="63"/>
      <c r="AC46" s="31"/>
      <c r="AN46" s="32"/>
      <c r="AO46" s="57"/>
    </row>
    <row r="47" spans="1:72">
      <c r="F47" s="31"/>
      <c r="M47" s="31"/>
      <c r="U47" s="31"/>
      <c r="AA47" s="63"/>
      <c r="AC47" s="31"/>
      <c r="AN47" s="32"/>
      <c r="AO47" s="57"/>
    </row>
    <row r="48" spans="1:72">
      <c r="F48" s="31"/>
      <c r="M48" s="31"/>
      <c r="U48" s="31"/>
      <c r="AA48" s="63"/>
      <c r="AC48" s="31"/>
      <c r="AN48" s="32"/>
      <c r="AO48" s="57"/>
    </row>
    <row r="49" spans="6:41">
      <c r="F49" s="31"/>
      <c r="M49" s="31"/>
      <c r="U49" s="31"/>
      <c r="AA49" s="63"/>
      <c r="AC49" s="31"/>
      <c r="AN49" s="32"/>
      <c r="AO49" s="57"/>
    </row>
    <row r="50" spans="6:41">
      <c r="F50" s="31"/>
      <c r="M50" s="31"/>
      <c r="U50" s="31"/>
      <c r="AA50" s="63"/>
      <c r="AC50" s="31"/>
      <c r="AN50" s="32"/>
      <c r="AO50" s="57"/>
    </row>
    <row r="51" spans="6:41">
      <c r="F51" s="31"/>
      <c r="M51" s="31"/>
      <c r="U51" s="31"/>
      <c r="AA51" s="63"/>
      <c r="AC51" s="31"/>
      <c r="AN51" s="32"/>
      <c r="AO51" s="57"/>
    </row>
    <row r="52" spans="6:41">
      <c r="F52" s="31"/>
      <c r="M52" s="31"/>
      <c r="U52" s="31"/>
      <c r="AA52" s="63"/>
      <c r="AC52" s="31"/>
      <c r="AN52" s="32"/>
      <c r="AO52" s="57"/>
    </row>
    <row r="53" spans="6:41">
      <c r="F53" s="31"/>
      <c r="M53" s="31"/>
      <c r="U53" s="31"/>
      <c r="AA53" s="63"/>
      <c r="AC53" s="31"/>
      <c r="AN53" s="32"/>
      <c r="AO53" s="57"/>
    </row>
    <row r="54" spans="6:41">
      <c r="F54" s="31"/>
      <c r="M54" s="31"/>
      <c r="U54" s="31"/>
      <c r="AA54" s="63"/>
      <c r="AC54" s="31"/>
      <c r="AN54" s="32"/>
      <c r="AO54" s="57"/>
    </row>
    <row r="55" spans="6:41">
      <c r="F55" s="31"/>
      <c r="M55" s="31"/>
      <c r="U55" s="31"/>
      <c r="AA55" s="63"/>
      <c r="AC55" s="31"/>
      <c r="AN55" s="32"/>
      <c r="AO55" s="57"/>
    </row>
    <row r="56" spans="6:41">
      <c r="F56" s="31"/>
      <c r="M56" s="31"/>
      <c r="U56" s="31"/>
      <c r="AA56" s="63"/>
      <c r="AC56" s="31"/>
      <c r="AN56" s="32"/>
      <c r="AO56" s="57"/>
    </row>
    <row r="57" spans="6:41">
      <c r="F57" s="31"/>
      <c r="M57" s="31"/>
      <c r="U57" s="31"/>
      <c r="AA57" s="63"/>
      <c r="AC57" s="31"/>
      <c r="AN57" s="32"/>
      <c r="AO57" s="57"/>
    </row>
    <row r="58" spans="6:41">
      <c r="F58" s="31"/>
      <c r="M58" s="31"/>
      <c r="U58" s="31"/>
      <c r="AA58" s="63"/>
      <c r="AC58" s="31"/>
      <c r="AN58" s="32"/>
      <c r="AO58" s="57"/>
    </row>
    <row r="59" spans="6:41">
      <c r="F59" s="31"/>
      <c r="M59" s="31"/>
      <c r="U59" s="31"/>
      <c r="AA59" s="63"/>
      <c r="AC59" s="31"/>
      <c r="AN59" s="32"/>
      <c r="AO59" s="57"/>
    </row>
    <row r="60" spans="6:41">
      <c r="F60" s="31"/>
      <c r="M60" s="31"/>
      <c r="U60" s="31"/>
      <c r="AA60" s="63"/>
      <c r="AC60" s="31"/>
      <c r="AN60" s="32"/>
      <c r="AO60" s="57"/>
    </row>
    <row r="61" spans="6:41">
      <c r="F61" s="31"/>
      <c r="M61" s="31"/>
      <c r="U61" s="31"/>
      <c r="AA61" s="63"/>
      <c r="AC61" s="31"/>
      <c r="AN61" s="32"/>
      <c r="AO61" s="57"/>
    </row>
    <row r="62" spans="6:41">
      <c r="F62" s="31"/>
      <c r="M62" s="31"/>
      <c r="U62" s="31"/>
      <c r="AA62" s="63"/>
      <c r="AC62" s="31"/>
      <c r="AN62" s="32"/>
      <c r="AO62" s="57"/>
    </row>
    <row r="63" spans="6:41">
      <c r="F63" s="31"/>
      <c r="M63" s="31"/>
      <c r="U63" s="31"/>
      <c r="AA63" s="63"/>
      <c r="AC63" s="31"/>
      <c r="AN63" s="32"/>
      <c r="AO63" s="57"/>
    </row>
    <row r="64" spans="6:41">
      <c r="F64" s="31"/>
      <c r="M64" s="31"/>
      <c r="U64" s="31"/>
      <c r="AA64" s="63"/>
      <c r="AC64" s="31"/>
      <c r="AN64" s="32"/>
      <c r="AO64" s="57"/>
    </row>
    <row r="65" spans="6:41">
      <c r="F65" s="31"/>
      <c r="M65" s="31"/>
      <c r="U65" s="31"/>
      <c r="AA65" s="63"/>
      <c r="AC65" s="31"/>
      <c r="AN65" s="32"/>
      <c r="AO65" s="57"/>
    </row>
    <row r="66" spans="6:41">
      <c r="F66" s="31"/>
      <c r="M66" s="31"/>
      <c r="U66" s="31"/>
      <c r="AA66" s="63"/>
      <c r="AC66" s="31"/>
      <c r="AN66" s="32"/>
      <c r="AO66" s="57"/>
    </row>
    <row r="67" spans="6:41">
      <c r="F67" s="31"/>
      <c r="M67" s="31"/>
      <c r="U67" s="31"/>
      <c r="AA67" s="63"/>
      <c r="AC67" s="31"/>
      <c r="AN67" s="32"/>
      <c r="AO67" s="57"/>
    </row>
    <row r="68" spans="6:41">
      <c r="F68" s="31"/>
      <c r="M68" s="31"/>
      <c r="U68" s="31"/>
      <c r="AA68" s="63"/>
      <c r="AC68" s="31"/>
      <c r="AN68" s="32"/>
      <c r="AO68" s="57"/>
    </row>
    <row r="69" spans="6:41">
      <c r="F69" s="31"/>
      <c r="M69" s="31"/>
      <c r="U69" s="31"/>
      <c r="AA69" s="63"/>
      <c r="AC69" s="31"/>
      <c r="AN69" s="32"/>
      <c r="AO69" s="57"/>
    </row>
    <row r="70" spans="6:41">
      <c r="F70" s="31"/>
      <c r="M70" s="31"/>
      <c r="U70" s="31"/>
      <c r="AA70" s="63"/>
      <c r="AC70" s="31"/>
      <c r="AN70" s="32"/>
      <c r="AO70" s="57"/>
    </row>
    <row r="71" spans="6:41">
      <c r="F71" s="31"/>
      <c r="M71" s="31"/>
      <c r="U71" s="31"/>
      <c r="AA71" s="63"/>
      <c r="AC71" s="31"/>
      <c r="AN71" s="32"/>
      <c r="AO71" s="57"/>
    </row>
    <row r="72" spans="6:41">
      <c r="F72" s="31"/>
      <c r="M72" s="31"/>
      <c r="U72" s="31"/>
      <c r="AA72" s="63"/>
      <c r="AC72" s="31"/>
      <c r="AN72" s="32"/>
      <c r="AO72" s="57"/>
    </row>
    <row r="73" spans="6:41">
      <c r="F73" s="31"/>
      <c r="M73" s="31"/>
      <c r="U73" s="31"/>
      <c r="AA73" s="63"/>
      <c r="AC73" s="31"/>
      <c r="AN73" s="32"/>
      <c r="AO73" s="57"/>
    </row>
    <row r="74" spans="6:41">
      <c r="F74" s="31"/>
      <c r="M74" s="31"/>
      <c r="U74" s="31"/>
      <c r="AA74" s="63"/>
      <c r="AC74" s="31"/>
      <c r="AN74" s="32"/>
      <c r="AO74" s="57"/>
    </row>
    <row r="75" spans="6:41">
      <c r="F75" s="31"/>
      <c r="M75" s="31"/>
      <c r="U75" s="31"/>
      <c r="AA75" s="63"/>
      <c r="AC75" s="31"/>
      <c r="AN75" s="32"/>
      <c r="AO75" s="57"/>
    </row>
    <row r="76" spans="6:41">
      <c r="F76" s="31"/>
      <c r="M76" s="31"/>
      <c r="U76" s="31"/>
      <c r="AA76" s="63"/>
      <c r="AC76" s="31"/>
      <c r="AN76" s="32"/>
      <c r="AO76" s="57"/>
    </row>
    <row r="77" spans="6:41">
      <c r="F77" s="31"/>
      <c r="M77" s="31"/>
      <c r="U77" s="31"/>
      <c r="AA77" s="63"/>
      <c r="AC77" s="31"/>
      <c r="AN77" s="32"/>
      <c r="AO77" s="57"/>
    </row>
    <row r="78" spans="6:41">
      <c r="F78" s="31"/>
      <c r="M78" s="31"/>
      <c r="U78" s="31"/>
      <c r="AA78" s="63"/>
      <c r="AC78" s="31"/>
      <c r="AN78" s="32"/>
      <c r="AO78" s="57"/>
    </row>
    <row r="79" spans="6:41">
      <c r="F79" s="31"/>
      <c r="M79" s="31"/>
      <c r="U79" s="31"/>
      <c r="AA79" s="63"/>
      <c r="AC79" s="31"/>
      <c r="AN79" s="32"/>
      <c r="AO79" s="57"/>
    </row>
    <row r="80" spans="6:41">
      <c r="F80" s="31"/>
      <c r="M80" s="31"/>
      <c r="U80" s="31"/>
      <c r="AA80" s="63"/>
      <c r="AC80" s="31"/>
      <c r="AN80" s="32"/>
      <c r="AO80" s="57"/>
    </row>
    <row r="81" spans="6:41">
      <c r="F81" s="31"/>
      <c r="M81" s="31"/>
      <c r="U81" s="31"/>
      <c r="AA81" s="63"/>
      <c r="AC81" s="31"/>
      <c r="AN81" s="32"/>
      <c r="AO81" s="57"/>
    </row>
    <row r="82" spans="6:41">
      <c r="F82" s="31"/>
      <c r="M82" s="31"/>
      <c r="U82" s="31"/>
      <c r="AA82" s="63"/>
      <c r="AC82" s="31"/>
      <c r="AN82" s="32"/>
      <c r="AO82" s="57"/>
    </row>
    <row r="83" spans="6:41">
      <c r="F83" s="31"/>
      <c r="M83" s="31"/>
      <c r="U83" s="31"/>
      <c r="AA83" s="63"/>
      <c r="AC83" s="31"/>
      <c r="AN83" s="32"/>
      <c r="AO83" s="57"/>
    </row>
    <row r="84" spans="6:41">
      <c r="F84" s="31"/>
      <c r="M84" s="31"/>
      <c r="U84" s="31"/>
      <c r="AA84" s="63"/>
      <c r="AC84" s="31"/>
      <c r="AN84" s="32"/>
      <c r="AO84" s="57"/>
    </row>
    <row r="85" spans="6:41">
      <c r="F85" s="31"/>
      <c r="M85" s="31"/>
      <c r="U85" s="31"/>
      <c r="AA85" s="63"/>
      <c r="AC85" s="31"/>
      <c r="AN85" s="32"/>
      <c r="AO85" s="57"/>
    </row>
    <row r="86" spans="6:41">
      <c r="F86" s="31"/>
      <c r="M86" s="31"/>
      <c r="U86" s="31"/>
      <c r="AA86" s="63"/>
      <c r="AC86" s="31"/>
      <c r="AN86" s="32"/>
      <c r="AO86" s="57"/>
    </row>
    <row r="87" spans="6:41">
      <c r="F87" s="31"/>
      <c r="M87" s="31"/>
      <c r="U87" s="31"/>
      <c r="AA87" s="63"/>
      <c r="AC87" s="31"/>
      <c r="AN87" s="32"/>
      <c r="AO87" s="57"/>
    </row>
    <row r="88" spans="6:41">
      <c r="F88" s="31"/>
      <c r="M88" s="31"/>
      <c r="U88" s="31"/>
      <c r="AA88" s="63"/>
      <c r="AC88" s="31"/>
      <c r="AN88" s="32"/>
      <c r="AO88" s="57"/>
    </row>
    <row r="89" spans="6:41">
      <c r="F89" s="31"/>
      <c r="M89" s="31"/>
      <c r="U89" s="31"/>
      <c r="AA89" s="63"/>
      <c r="AC89" s="31"/>
      <c r="AN89" s="32"/>
      <c r="AO89" s="57"/>
    </row>
    <row r="90" spans="6:41">
      <c r="F90" s="31"/>
      <c r="M90" s="31"/>
      <c r="U90" s="31"/>
      <c r="AA90" s="63"/>
      <c r="AC90" s="31"/>
      <c r="AN90" s="32"/>
      <c r="AO90" s="57"/>
    </row>
    <row r="91" spans="6:41">
      <c r="F91" s="31"/>
      <c r="M91" s="31"/>
      <c r="U91" s="31"/>
      <c r="AA91" s="63"/>
      <c r="AC91" s="31"/>
      <c r="AN91" s="32"/>
      <c r="AO91" s="57"/>
    </row>
    <row r="92" spans="6:41">
      <c r="F92" s="31"/>
      <c r="M92" s="31"/>
      <c r="U92" s="31"/>
      <c r="AA92" s="63"/>
      <c r="AC92" s="31"/>
      <c r="AN92" s="32"/>
      <c r="AO92" s="57"/>
    </row>
    <row r="93" spans="6:41">
      <c r="F93" s="31"/>
      <c r="M93" s="31"/>
      <c r="U93" s="31"/>
      <c r="AA93" s="63"/>
      <c r="AC93" s="31"/>
      <c r="AN93" s="32"/>
      <c r="AO93" s="57"/>
    </row>
    <row r="94" spans="6:41">
      <c r="F94" s="31"/>
      <c r="M94" s="31"/>
      <c r="U94" s="31"/>
      <c r="AA94" s="63"/>
      <c r="AC94" s="31"/>
      <c r="AN94" s="32"/>
      <c r="AO94" s="57"/>
    </row>
    <row r="95" spans="6:41">
      <c r="F95" s="31"/>
      <c r="M95" s="31"/>
      <c r="U95" s="31"/>
      <c r="AA95" s="63"/>
      <c r="AC95" s="31"/>
      <c r="AN95" s="32"/>
      <c r="AO95" s="57"/>
    </row>
    <row r="96" spans="6:41">
      <c r="F96" s="31"/>
      <c r="M96" s="31"/>
      <c r="U96" s="31"/>
      <c r="AA96" s="63"/>
      <c r="AC96" s="31"/>
      <c r="AN96" s="32"/>
      <c r="AO96" s="57"/>
    </row>
    <row r="97" spans="6:41">
      <c r="F97" s="31"/>
      <c r="M97" s="31"/>
      <c r="U97" s="31"/>
      <c r="AA97" s="63"/>
      <c r="AC97" s="31"/>
      <c r="AN97" s="32"/>
      <c r="AO97" s="57"/>
    </row>
    <row r="98" spans="6:41">
      <c r="F98" s="31"/>
      <c r="M98" s="31"/>
      <c r="U98" s="31"/>
      <c r="AA98" s="63"/>
      <c r="AC98" s="31"/>
      <c r="AN98" s="32"/>
      <c r="AO98" s="57"/>
    </row>
    <row r="99" spans="6:41">
      <c r="F99" s="31"/>
      <c r="M99" s="31"/>
      <c r="U99" s="31"/>
      <c r="AA99" s="63"/>
      <c r="AC99" s="31"/>
      <c r="AN99" s="32"/>
      <c r="AO99" s="57"/>
    </row>
    <row r="100" spans="6:41">
      <c r="F100" s="31"/>
      <c r="M100" s="31"/>
      <c r="U100" s="31"/>
      <c r="AA100" s="63"/>
      <c r="AC100" s="31"/>
      <c r="AN100" s="32"/>
      <c r="AO100" s="57"/>
    </row>
    <row r="101" spans="6:41">
      <c r="F101" s="31"/>
      <c r="M101" s="31"/>
      <c r="U101" s="31"/>
      <c r="AA101" s="63"/>
      <c r="AC101" s="31"/>
      <c r="AN101" s="32"/>
      <c r="AO101" s="57"/>
    </row>
    <row r="102" spans="6:41">
      <c r="F102" s="31"/>
      <c r="M102" s="31"/>
      <c r="U102" s="31"/>
      <c r="AA102" s="63"/>
      <c r="AC102" s="31"/>
      <c r="AN102" s="32"/>
      <c r="AO102" s="57"/>
    </row>
    <row r="103" spans="6:41">
      <c r="F103" s="31"/>
      <c r="M103" s="31"/>
      <c r="U103" s="31"/>
      <c r="AA103" s="63"/>
      <c r="AC103" s="31"/>
      <c r="AN103" s="32"/>
      <c r="AO103" s="57"/>
    </row>
    <row r="104" spans="6:41">
      <c r="F104" s="31"/>
      <c r="M104" s="31"/>
      <c r="U104" s="31"/>
      <c r="AA104" s="63"/>
      <c r="AC104" s="31"/>
      <c r="AN104" s="32"/>
      <c r="AO104" s="57"/>
    </row>
    <row r="105" spans="6:41">
      <c r="F105" s="31"/>
      <c r="M105" s="31"/>
      <c r="U105" s="31"/>
      <c r="AA105" s="63"/>
      <c r="AC105" s="31"/>
      <c r="AN105" s="32"/>
      <c r="AO105" s="57"/>
    </row>
    <row r="106" spans="6:41">
      <c r="F106" s="31"/>
      <c r="M106" s="31"/>
      <c r="U106" s="31"/>
      <c r="AA106" s="63"/>
      <c r="AC106" s="31"/>
      <c r="AN106" s="32"/>
      <c r="AO106" s="57"/>
    </row>
    <row r="107" spans="6:41">
      <c r="F107" s="31"/>
      <c r="M107" s="31"/>
      <c r="U107" s="31"/>
      <c r="AA107" s="63"/>
      <c r="AC107" s="31"/>
      <c r="AN107" s="32"/>
      <c r="AO107" s="57"/>
    </row>
    <row r="108" spans="6:41">
      <c r="F108" s="31"/>
      <c r="M108" s="31"/>
      <c r="U108" s="31"/>
      <c r="AA108" s="63"/>
      <c r="AC108" s="31"/>
      <c r="AN108" s="32"/>
      <c r="AO108" s="57"/>
    </row>
    <row r="109" spans="6:41">
      <c r="F109" s="31"/>
      <c r="M109" s="31"/>
      <c r="U109" s="31"/>
      <c r="AA109" s="63"/>
      <c r="AC109" s="31"/>
      <c r="AN109" s="32"/>
      <c r="AO109" s="57"/>
    </row>
    <row r="110" spans="6:41">
      <c r="F110" s="31"/>
      <c r="M110" s="31"/>
      <c r="U110" s="31"/>
      <c r="AA110" s="63"/>
      <c r="AC110" s="31"/>
      <c r="AN110" s="32"/>
      <c r="AO110" s="57"/>
    </row>
    <row r="111" spans="6:41">
      <c r="F111" s="31"/>
      <c r="M111" s="31"/>
      <c r="U111" s="31"/>
      <c r="AA111" s="63"/>
      <c r="AC111" s="31"/>
      <c r="AN111" s="32"/>
      <c r="AO111" s="57"/>
    </row>
    <row r="112" spans="6:41">
      <c r="F112" s="31"/>
      <c r="M112" s="31"/>
      <c r="U112" s="31"/>
      <c r="AA112" s="63"/>
      <c r="AC112" s="31"/>
      <c r="AN112" s="32"/>
      <c r="AO112" s="57"/>
    </row>
    <row r="113" spans="6:41">
      <c r="F113" s="31"/>
      <c r="M113" s="31"/>
      <c r="U113" s="31"/>
      <c r="AA113" s="63"/>
      <c r="AC113" s="31"/>
      <c r="AN113" s="32"/>
      <c r="AO113" s="57"/>
    </row>
    <row r="114" spans="6:41">
      <c r="F114" s="31"/>
      <c r="M114" s="31"/>
      <c r="U114" s="31"/>
      <c r="AA114" s="63"/>
      <c r="AC114" s="31"/>
      <c r="AN114" s="32"/>
      <c r="AO114" s="57"/>
    </row>
    <row r="115" spans="6:41">
      <c r="F115" s="31"/>
      <c r="M115" s="31"/>
      <c r="U115" s="31"/>
      <c r="AA115" s="63"/>
      <c r="AC115" s="31"/>
      <c r="AN115" s="32"/>
      <c r="AO115" s="57"/>
    </row>
    <row r="116" spans="6:41">
      <c r="F116" s="31"/>
      <c r="M116" s="31"/>
      <c r="U116" s="31"/>
      <c r="AA116" s="63"/>
      <c r="AC116" s="31"/>
      <c r="AN116" s="32"/>
      <c r="AO116" s="57"/>
    </row>
    <row r="117" spans="6:41">
      <c r="F117" s="31"/>
      <c r="M117" s="31"/>
      <c r="U117" s="31"/>
      <c r="AA117" s="63"/>
      <c r="AC117" s="31"/>
      <c r="AN117" s="32"/>
      <c r="AO117" s="57"/>
    </row>
    <row r="118" spans="6:41">
      <c r="F118" s="31"/>
      <c r="M118" s="31"/>
      <c r="U118" s="31"/>
      <c r="AA118" s="63"/>
      <c r="AC118" s="31"/>
      <c r="AN118" s="32"/>
      <c r="AO118" s="57"/>
    </row>
    <row r="119" spans="6:41">
      <c r="F119" s="31"/>
      <c r="M119" s="31"/>
      <c r="U119" s="31"/>
      <c r="AA119" s="63"/>
      <c r="AC119" s="31"/>
      <c r="AN119" s="32"/>
      <c r="AO119" s="57"/>
    </row>
    <row r="120" spans="6:41">
      <c r="F120" s="31"/>
      <c r="M120" s="31"/>
      <c r="U120" s="31"/>
      <c r="AA120" s="63"/>
      <c r="AC120" s="31"/>
      <c r="AN120" s="32"/>
      <c r="AO120" s="57"/>
    </row>
    <row r="121" spans="6:41">
      <c r="F121" s="31"/>
      <c r="M121" s="31"/>
      <c r="U121" s="31"/>
      <c r="AA121" s="63"/>
      <c r="AC121" s="31"/>
      <c r="AN121" s="32"/>
      <c r="AO121" s="57"/>
    </row>
    <row r="122" spans="6:41">
      <c r="F122" s="31"/>
      <c r="M122" s="31"/>
      <c r="U122" s="31"/>
      <c r="AA122" s="63"/>
      <c r="AC122" s="31"/>
      <c r="AN122" s="32"/>
      <c r="AO122" s="57"/>
    </row>
    <row r="123" spans="6:41">
      <c r="F123" s="31"/>
      <c r="M123" s="31"/>
      <c r="U123" s="31"/>
      <c r="AA123" s="63"/>
      <c r="AC123" s="31"/>
      <c r="AN123" s="32"/>
      <c r="AO123" s="57"/>
    </row>
    <row r="124" spans="6:41">
      <c r="F124" s="31"/>
      <c r="M124" s="31"/>
      <c r="U124" s="31"/>
      <c r="AA124" s="63"/>
      <c r="AC124" s="31"/>
      <c r="AN124" s="32"/>
      <c r="AO124" s="57"/>
    </row>
    <row r="125" spans="6:41">
      <c r="F125" s="31"/>
      <c r="M125" s="31"/>
      <c r="U125" s="31"/>
      <c r="AA125" s="63"/>
      <c r="AC125" s="31"/>
      <c r="AN125" s="32"/>
      <c r="AO125" s="57"/>
    </row>
    <row r="126" spans="6:41">
      <c r="F126" s="31"/>
      <c r="M126" s="31"/>
      <c r="U126" s="31"/>
      <c r="AA126" s="63"/>
      <c r="AC126" s="31"/>
      <c r="AN126" s="32"/>
      <c r="AO126" s="57"/>
    </row>
    <row r="127" spans="6:41">
      <c r="F127" s="31"/>
      <c r="M127" s="31"/>
      <c r="U127" s="31"/>
      <c r="AA127" s="63"/>
      <c r="AC127" s="31"/>
      <c r="AN127" s="32"/>
      <c r="AO127" s="57"/>
    </row>
    <row r="128" spans="6:41">
      <c r="F128" s="31"/>
      <c r="M128" s="31"/>
      <c r="U128" s="31"/>
      <c r="AA128" s="63"/>
      <c r="AC128" s="31"/>
      <c r="AN128" s="32"/>
      <c r="AO128" s="57"/>
    </row>
    <row r="129" spans="6:41">
      <c r="F129" s="31"/>
      <c r="M129" s="31"/>
      <c r="U129" s="31"/>
      <c r="AA129" s="63"/>
      <c r="AC129" s="31"/>
      <c r="AN129" s="32"/>
      <c r="AO129" s="57"/>
    </row>
    <row r="130" spans="6:41">
      <c r="F130" s="31"/>
      <c r="M130" s="31"/>
      <c r="U130" s="31"/>
      <c r="AA130" s="63"/>
      <c r="AC130" s="31"/>
      <c r="AN130" s="32"/>
      <c r="AO130" s="57"/>
    </row>
    <row r="131" spans="6:41">
      <c r="F131" s="31"/>
      <c r="M131" s="31"/>
      <c r="U131" s="31"/>
      <c r="AA131" s="63"/>
      <c r="AC131" s="31"/>
      <c r="AN131" s="32"/>
      <c r="AO131" s="57"/>
    </row>
    <row r="132" spans="6:41">
      <c r="F132" s="31"/>
      <c r="M132" s="31"/>
      <c r="U132" s="31"/>
      <c r="AA132" s="63"/>
      <c r="AC132" s="31"/>
      <c r="AN132" s="32"/>
      <c r="AO132" s="57"/>
    </row>
    <row r="133" spans="6:41">
      <c r="F133" s="31"/>
      <c r="M133" s="31"/>
      <c r="U133" s="31"/>
      <c r="AA133" s="63"/>
      <c r="AC133" s="31"/>
      <c r="AN133" s="32"/>
      <c r="AO133" s="57"/>
    </row>
    <row r="134" spans="6:41">
      <c r="F134" s="31"/>
      <c r="M134" s="31"/>
      <c r="U134" s="31"/>
      <c r="AA134" s="63"/>
      <c r="AC134" s="31"/>
      <c r="AN134" s="32"/>
      <c r="AO134" s="57"/>
    </row>
    <row r="135" spans="6:41">
      <c r="F135" s="31"/>
      <c r="M135" s="31"/>
      <c r="U135" s="31"/>
      <c r="AA135" s="63"/>
      <c r="AC135" s="31"/>
      <c r="AN135" s="32"/>
      <c r="AO135" s="57"/>
    </row>
    <row r="136" spans="6:41">
      <c r="F136" s="31"/>
      <c r="M136" s="31"/>
      <c r="U136" s="31"/>
      <c r="AA136" s="63"/>
      <c r="AC136" s="31"/>
      <c r="AN136" s="32"/>
      <c r="AO136" s="57"/>
    </row>
    <row r="137" spans="6:41">
      <c r="F137" s="31"/>
      <c r="M137" s="31"/>
      <c r="U137" s="31"/>
      <c r="AA137" s="63"/>
      <c r="AC137" s="31"/>
      <c r="AN137" s="32"/>
      <c r="AO137" s="57"/>
    </row>
    <row r="138" spans="6:41">
      <c r="F138" s="31"/>
      <c r="M138" s="31"/>
      <c r="U138" s="31"/>
      <c r="AA138" s="63"/>
      <c r="AC138" s="31"/>
      <c r="AN138" s="32"/>
      <c r="AO138" s="57"/>
    </row>
    <row r="139" spans="6:41">
      <c r="F139" s="31"/>
      <c r="M139" s="31"/>
      <c r="U139" s="31"/>
      <c r="AA139" s="63"/>
      <c r="AC139" s="31"/>
      <c r="AN139" s="32"/>
      <c r="AO139" s="57"/>
    </row>
    <row r="140" spans="6:41">
      <c r="F140" s="31"/>
      <c r="M140" s="31"/>
      <c r="U140" s="31"/>
      <c r="AA140" s="63"/>
      <c r="AC140" s="31"/>
      <c r="AN140" s="32"/>
      <c r="AO140" s="57"/>
    </row>
    <row r="141" spans="6:41">
      <c r="F141" s="31"/>
      <c r="M141" s="31"/>
      <c r="U141" s="31"/>
      <c r="AA141" s="63"/>
      <c r="AC141" s="31"/>
      <c r="AN141" s="32"/>
      <c r="AO141" s="57"/>
    </row>
    <row r="142" spans="6:41">
      <c r="F142" s="31"/>
      <c r="M142" s="31"/>
      <c r="U142" s="31"/>
      <c r="AA142" s="63"/>
      <c r="AC142" s="31"/>
      <c r="AN142" s="32"/>
      <c r="AO142" s="57"/>
    </row>
    <row r="143" spans="6:41">
      <c r="F143" s="31"/>
      <c r="M143" s="31"/>
      <c r="U143" s="31"/>
      <c r="AA143" s="63"/>
      <c r="AC143" s="31"/>
      <c r="AN143" s="32"/>
      <c r="AO143" s="57"/>
    </row>
    <row r="144" spans="6:41">
      <c r="F144" s="31"/>
      <c r="M144" s="31"/>
      <c r="U144" s="31"/>
      <c r="AA144" s="63"/>
      <c r="AC144" s="31"/>
      <c r="AN144" s="32"/>
      <c r="AO144" s="57"/>
    </row>
    <row r="145" spans="6:41">
      <c r="F145" s="31"/>
      <c r="M145" s="31"/>
      <c r="U145" s="31"/>
      <c r="AA145" s="63"/>
      <c r="AC145" s="31"/>
      <c r="AN145" s="32"/>
      <c r="AO145" s="57"/>
    </row>
    <row r="146" spans="6:41">
      <c r="F146" s="31"/>
      <c r="M146" s="31"/>
      <c r="U146" s="31"/>
      <c r="AA146" s="63"/>
      <c r="AC146" s="31"/>
      <c r="AN146" s="32"/>
      <c r="AO146" s="57"/>
    </row>
    <row r="147" spans="6:41">
      <c r="F147" s="31"/>
      <c r="M147" s="31"/>
      <c r="U147" s="31"/>
      <c r="AA147" s="63"/>
      <c r="AC147" s="31"/>
      <c r="AN147" s="32"/>
      <c r="AO147" s="57"/>
    </row>
    <row r="148" spans="6:41">
      <c r="F148" s="31"/>
      <c r="M148" s="31"/>
      <c r="U148" s="31"/>
      <c r="AA148" s="63"/>
      <c r="AC148" s="31"/>
      <c r="AN148" s="32"/>
      <c r="AO148" s="57"/>
    </row>
    <row r="149" spans="6:41">
      <c r="F149" s="31"/>
      <c r="M149" s="31"/>
      <c r="U149" s="31"/>
      <c r="AA149" s="63"/>
      <c r="AC149" s="31"/>
      <c r="AN149" s="32"/>
      <c r="AO149" s="57"/>
    </row>
    <row r="150" spans="6:41">
      <c r="F150" s="31"/>
      <c r="M150" s="31"/>
      <c r="U150" s="31"/>
      <c r="AA150" s="63"/>
      <c r="AC150" s="31"/>
      <c r="AN150" s="32"/>
      <c r="AO150" s="57"/>
    </row>
    <row r="151" spans="6:41">
      <c r="F151" s="31"/>
      <c r="M151" s="31"/>
      <c r="U151" s="31"/>
      <c r="AA151" s="63"/>
      <c r="AC151" s="31"/>
      <c r="AN151" s="32"/>
      <c r="AO151" s="57"/>
    </row>
    <row r="152" spans="6:41">
      <c r="F152" s="31"/>
      <c r="M152" s="31"/>
      <c r="U152" s="31"/>
      <c r="AA152" s="63"/>
      <c r="AC152" s="31"/>
      <c r="AN152" s="32"/>
      <c r="AO152" s="57"/>
    </row>
    <row r="153" spans="6:41">
      <c r="F153" s="31"/>
      <c r="M153" s="31"/>
      <c r="U153" s="31"/>
      <c r="AA153" s="63"/>
      <c r="AC153" s="31"/>
      <c r="AN153" s="32"/>
      <c r="AO153" s="57"/>
    </row>
    <row r="154" spans="6:41">
      <c r="F154" s="31"/>
      <c r="M154" s="31"/>
      <c r="U154" s="31"/>
      <c r="AA154" s="63"/>
      <c r="AC154" s="31"/>
      <c r="AN154" s="32"/>
      <c r="AO154" s="57"/>
    </row>
    <row r="155" spans="6:41">
      <c r="F155" s="31"/>
      <c r="M155" s="31"/>
      <c r="U155" s="31"/>
      <c r="AA155" s="63"/>
      <c r="AC155" s="31"/>
      <c r="AN155" s="32"/>
      <c r="AO155" s="57"/>
    </row>
    <row r="156" spans="6:41">
      <c r="F156" s="31"/>
      <c r="M156" s="31"/>
      <c r="U156" s="31"/>
      <c r="AA156" s="63"/>
      <c r="AC156" s="31"/>
      <c r="AN156" s="32"/>
      <c r="AO156" s="57"/>
    </row>
    <row r="157" spans="6:41">
      <c r="F157" s="31"/>
      <c r="M157" s="31"/>
      <c r="U157" s="31"/>
      <c r="AA157" s="63"/>
      <c r="AC157" s="31"/>
      <c r="AN157" s="32"/>
      <c r="AO157" s="57"/>
    </row>
    <row r="158" spans="6:41">
      <c r="F158" s="31"/>
      <c r="M158" s="31"/>
      <c r="U158" s="31"/>
      <c r="AA158" s="63"/>
      <c r="AC158" s="31"/>
      <c r="AN158" s="32"/>
      <c r="AO158" s="57"/>
    </row>
    <row r="159" spans="6:41">
      <c r="F159" s="31"/>
      <c r="M159" s="31"/>
      <c r="U159" s="31"/>
      <c r="AA159" s="63"/>
      <c r="AC159" s="31"/>
      <c r="AN159" s="32"/>
      <c r="AO159" s="57"/>
    </row>
    <row r="160" spans="6:41">
      <c r="F160" s="31"/>
      <c r="M160" s="31"/>
      <c r="U160" s="31"/>
      <c r="AA160" s="63"/>
      <c r="AC160" s="31"/>
      <c r="AN160" s="32"/>
      <c r="AO160" s="57"/>
    </row>
    <row r="161" spans="6:41">
      <c r="F161" s="31"/>
      <c r="M161" s="31"/>
      <c r="U161" s="31"/>
      <c r="AA161" s="63"/>
      <c r="AC161" s="31"/>
      <c r="AN161" s="32"/>
      <c r="AO161" s="57"/>
    </row>
    <row r="162" spans="6:41">
      <c r="F162" s="31"/>
      <c r="M162" s="31"/>
      <c r="U162" s="31"/>
      <c r="AA162" s="63"/>
      <c r="AC162" s="31"/>
      <c r="AN162" s="32"/>
      <c r="AO162" s="57"/>
    </row>
    <row r="163" spans="6:41">
      <c r="F163" s="31"/>
      <c r="M163" s="31"/>
      <c r="U163" s="31"/>
      <c r="AA163" s="63"/>
      <c r="AC163" s="31"/>
      <c r="AN163" s="32"/>
      <c r="AO163" s="57"/>
    </row>
    <row r="164" spans="6:41">
      <c r="F164" s="31"/>
      <c r="M164" s="31"/>
      <c r="U164" s="31"/>
      <c r="AA164" s="63"/>
      <c r="AC164" s="31"/>
      <c r="AN164" s="32"/>
      <c r="AO164" s="57"/>
    </row>
    <row r="165" spans="6:41">
      <c r="F165" s="31"/>
      <c r="M165" s="31"/>
      <c r="U165" s="31"/>
      <c r="AA165" s="63"/>
      <c r="AC165" s="31"/>
      <c r="AN165" s="32"/>
      <c r="AO165" s="57"/>
    </row>
    <row r="166" spans="6:41">
      <c r="F166" s="31"/>
      <c r="M166" s="31"/>
      <c r="U166" s="31"/>
      <c r="AA166" s="63"/>
      <c r="AC166" s="31"/>
      <c r="AN166" s="32"/>
      <c r="AO166" s="57"/>
    </row>
    <row r="167" spans="6:41">
      <c r="F167" s="31"/>
      <c r="M167" s="31"/>
      <c r="U167" s="31"/>
      <c r="AA167" s="63"/>
      <c r="AC167" s="31"/>
      <c r="AN167" s="32"/>
      <c r="AO167" s="57"/>
    </row>
    <row r="168" spans="6:41">
      <c r="F168" s="31"/>
      <c r="M168" s="31"/>
      <c r="U168" s="31"/>
      <c r="AA168" s="63"/>
      <c r="AC168" s="31"/>
      <c r="AN168" s="32"/>
      <c r="AO168" s="57"/>
    </row>
    <row r="169" spans="6:41">
      <c r="F169" s="31"/>
      <c r="M169" s="31"/>
      <c r="U169" s="31"/>
      <c r="AA169" s="63"/>
      <c r="AC169" s="31"/>
      <c r="AN169" s="32"/>
      <c r="AO169" s="57"/>
    </row>
    <row r="170" spans="6:41">
      <c r="F170" s="31"/>
      <c r="M170" s="31"/>
      <c r="U170" s="31"/>
      <c r="AA170" s="63"/>
      <c r="AC170" s="31"/>
      <c r="AN170" s="32"/>
      <c r="AO170" s="57"/>
    </row>
    <row r="171" spans="6:41">
      <c r="F171" s="31"/>
      <c r="M171" s="31"/>
      <c r="U171" s="31"/>
      <c r="AA171" s="63"/>
      <c r="AC171" s="31"/>
      <c r="AN171" s="32"/>
      <c r="AO171" s="57"/>
    </row>
    <row r="172" spans="6:41">
      <c r="F172" s="31"/>
      <c r="M172" s="31"/>
      <c r="U172" s="31"/>
      <c r="AA172" s="63"/>
      <c r="AC172" s="31"/>
      <c r="AN172" s="32"/>
      <c r="AO172" s="57"/>
    </row>
    <row r="173" spans="6:41">
      <c r="F173" s="31"/>
      <c r="M173" s="31"/>
      <c r="U173" s="31"/>
      <c r="AA173" s="63"/>
      <c r="AC173" s="31"/>
      <c r="AN173" s="32"/>
      <c r="AO173" s="57"/>
    </row>
    <row r="174" spans="6:41">
      <c r="F174" s="31"/>
      <c r="M174" s="31"/>
      <c r="U174" s="31"/>
      <c r="AA174" s="63"/>
      <c r="AC174" s="31"/>
      <c r="AN174" s="32"/>
      <c r="AO174" s="57"/>
    </row>
    <row r="175" spans="6:41">
      <c r="F175" s="31"/>
      <c r="M175" s="31"/>
      <c r="U175" s="31"/>
      <c r="AA175" s="63"/>
      <c r="AC175" s="31"/>
      <c r="AN175" s="32"/>
      <c r="AO175" s="57"/>
    </row>
    <row r="176" spans="6:41">
      <c r="F176" s="31"/>
      <c r="M176" s="31"/>
      <c r="U176" s="31"/>
      <c r="AA176" s="63"/>
      <c r="AC176" s="31"/>
      <c r="AN176" s="32"/>
      <c r="AO176" s="57"/>
    </row>
    <row r="177" spans="6:41">
      <c r="F177" s="31"/>
      <c r="M177" s="31"/>
      <c r="U177" s="31"/>
      <c r="AA177" s="63"/>
      <c r="AC177" s="31"/>
      <c r="AN177" s="32"/>
      <c r="AO177" s="57"/>
    </row>
    <row r="178" spans="6:41">
      <c r="F178" s="31"/>
      <c r="M178" s="31"/>
      <c r="U178" s="31"/>
      <c r="AA178" s="63"/>
      <c r="AC178" s="31"/>
      <c r="AN178" s="32"/>
      <c r="AO178" s="57"/>
    </row>
    <row r="179" spans="6:41">
      <c r="F179" s="31"/>
      <c r="M179" s="31"/>
      <c r="U179" s="31"/>
      <c r="AA179" s="63"/>
      <c r="AC179" s="31"/>
      <c r="AN179" s="32"/>
      <c r="AO179" s="57"/>
    </row>
    <row r="180" spans="6:41">
      <c r="F180" s="31"/>
      <c r="M180" s="31"/>
      <c r="U180" s="31"/>
      <c r="AA180" s="63"/>
      <c r="AC180" s="31"/>
      <c r="AN180" s="32"/>
      <c r="AO180" s="57"/>
    </row>
    <row r="181" spans="6:41">
      <c r="F181" s="31"/>
      <c r="M181" s="31"/>
      <c r="U181" s="31"/>
      <c r="AA181" s="63"/>
      <c r="AC181" s="31"/>
      <c r="AN181" s="32"/>
      <c r="AO181" s="57"/>
    </row>
    <row r="182" spans="6:41">
      <c r="F182" s="31"/>
      <c r="M182" s="31"/>
      <c r="U182" s="31"/>
      <c r="AA182" s="63"/>
      <c r="AC182" s="31"/>
      <c r="AN182" s="32"/>
      <c r="AO182" s="57"/>
    </row>
    <row r="183" spans="6:41">
      <c r="F183" s="31"/>
      <c r="M183" s="31"/>
      <c r="U183" s="31"/>
      <c r="AA183" s="63"/>
      <c r="AC183" s="31"/>
      <c r="AN183" s="32"/>
      <c r="AO183" s="57"/>
    </row>
    <row r="184" spans="6:41">
      <c r="F184" s="31"/>
      <c r="M184" s="31"/>
      <c r="U184" s="31"/>
      <c r="AA184" s="63"/>
      <c r="AC184" s="31"/>
      <c r="AN184" s="32"/>
      <c r="AO184" s="57"/>
    </row>
    <row r="185" spans="6:41">
      <c r="F185" s="31"/>
      <c r="M185" s="31"/>
      <c r="U185" s="31"/>
      <c r="AA185" s="63"/>
      <c r="AC185" s="31"/>
      <c r="AN185" s="32"/>
      <c r="AO185" s="57"/>
    </row>
    <row r="186" spans="6:41">
      <c r="F186" s="31"/>
      <c r="M186" s="31"/>
      <c r="U186" s="31"/>
      <c r="AA186" s="63"/>
      <c r="AC186" s="31"/>
      <c r="AN186" s="32"/>
      <c r="AO186" s="57"/>
    </row>
    <row r="187" spans="6:41">
      <c r="F187" s="31"/>
      <c r="M187" s="31"/>
      <c r="U187" s="31"/>
      <c r="AA187" s="63"/>
      <c r="AC187" s="31"/>
      <c r="AN187" s="32"/>
      <c r="AO187" s="57"/>
    </row>
    <row r="188" spans="6:41">
      <c r="F188" s="31"/>
      <c r="M188" s="31"/>
      <c r="U188" s="31"/>
      <c r="AA188" s="63"/>
      <c r="AC188" s="31"/>
      <c r="AN188" s="32"/>
      <c r="AO188" s="57"/>
    </row>
    <row r="189" spans="6:41">
      <c r="F189" s="31"/>
      <c r="M189" s="31"/>
      <c r="U189" s="31"/>
      <c r="AA189" s="63"/>
      <c r="AC189" s="31"/>
      <c r="AN189" s="32"/>
      <c r="AO189" s="57"/>
    </row>
    <row r="190" spans="6:41">
      <c r="F190" s="31"/>
      <c r="M190" s="31"/>
      <c r="U190" s="31"/>
      <c r="AA190" s="63"/>
      <c r="AC190" s="31"/>
      <c r="AN190" s="32"/>
      <c r="AO190" s="57"/>
    </row>
    <row r="191" spans="6:41">
      <c r="F191" s="31"/>
      <c r="M191" s="31"/>
      <c r="U191" s="31"/>
      <c r="AA191" s="63"/>
      <c r="AC191" s="31"/>
      <c r="AN191" s="32"/>
      <c r="AO191" s="57"/>
    </row>
    <row r="192" spans="6:41">
      <c r="F192" s="31"/>
      <c r="M192" s="31"/>
      <c r="U192" s="31"/>
      <c r="AA192" s="63"/>
      <c r="AC192" s="31"/>
      <c r="AN192" s="32"/>
      <c r="AO192" s="57"/>
    </row>
    <row r="193" spans="6:41">
      <c r="F193" s="31"/>
      <c r="M193" s="31"/>
      <c r="U193" s="31"/>
      <c r="AA193" s="63"/>
      <c r="AC193" s="31"/>
      <c r="AN193" s="32"/>
      <c r="AO193" s="57"/>
    </row>
    <row r="194" spans="6:41">
      <c r="F194" s="31"/>
      <c r="M194" s="31"/>
      <c r="U194" s="31"/>
      <c r="AA194" s="63"/>
      <c r="AC194" s="31"/>
      <c r="AN194" s="32"/>
      <c r="AO194" s="57"/>
    </row>
    <row r="195" spans="6:41">
      <c r="F195" s="31"/>
      <c r="M195" s="31"/>
      <c r="U195" s="31"/>
      <c r="AA195" s="63"/>
      <c r="AC195" s="31"/>
      <c r="AN195" s="32"/>
      <c r="AO195" s="57"/>
    </row>
    <row r="196" spans="6:41">
      <c r="F196" s="31"/>
      <c r="M196" s="31"/>
      <c r="U196" s="31"/>
      <c r="AA196" s="63"/>
      <c r="AC196" s="31"/>
      <c r="AN196" s="32"/>
      <c r="AO196" s="57"/>
    </row>
    <row r="197" spans="6:41">
      <c r="F197" s="31"/>
      <c r="M197" s="31"/>
      <c r="U197" s="31"/>
      <c r="AA197" s="63"/>
      <c r="AC197" s="31"/>
      <c r="AN197" s="32"/>
      <c r="AO197" s="57"/>
    </row>
    <row r="198" spans="6:41">
      <c r="F198" s="31"/>
      <c r="M198" s="31"/>
      <c r="U198" s="31"/>
      <c r="AA198" s="63"/>
      <c r="AC198" s="31"/>
      <c r="AN198" s="32"/>
      <c r="AO198" s="57"/>
    </row>
    <row r="199" spans="6:41">
      <c r="F199" s="31"/>
      <c r="M199" s="31"/>
      <c r="U199" s="31"/>
      <c r="AA199" s="63"/>
      <c r="AC199" s="31"/>
      <c r="AN199" s="32"/>
      <c r="AO199" s="57"/>
    </row>
    <row r="200" spans="6:41">
      <c r="F200" s="31"/>
      <c r="M200" s="31"/>
      <c r="U200" s="31"/>
      <c r="AA200" s="63"/>
      <c r="AC200" s="31"/>
      <c r="AN200" s="32"/>
      <c r="AO200" s="57"/>
    </row>
    <row r="201" spans="6:41">
      <c r="F201" s="31"/>
      <c r="M201" s="31"/>
      <c r="U201" s="31"/>
      <c r="AA201" s="63"/>
      <c r="AC201" s="31"/>
      <c r="AN201" s="32"/>
      <c r="AO201" s="57"/>
    </row>
    <row r="202" spans="6:41">
      <c r="F202" s="31"/>
      <c r="M202" s="31"/>
      <c r="U202" s="31"/>
      <c r="AA202" s="63"/>
      <c r="AC202" s="31"/>
      <c r="AN202" s="32"/>
      <c r="AO202" s="57"/>
    </row>
    <row r="203" spans="6:41">
      <c r="F203" s="31"/>
      <c r="M203" s="31"/>
      <c r="U203" s="31"/>
      <c r="AA203" s="63"/>
      <c r="AC203" s="31"/>
      <c r="AN203" s="32"/>
      <c r="AO203" s="57"/>
    </row>
    <row r="204" spans="6:41">
      <c r="F204" s="31"/>
      <c r="M204" s="31"/>
      <c r="U204" s="31"/>
      <c r="AA204" s="63"/>
      <c r="AC204" s="31"/>
      <c r="AN204" s="32"/>
      <c r="AO204" s="57"/>
    </row>
    <row r="205" spans="6:41">
      <c r="F205" s="31"/>
      <c r="M205" s="31"/>
      <c r="U205" s="31"/>
      <c r="AA205" s="63"/>
      <c r="AC205" s="31"/>
      <c r="AN205" s="32"/>
      <c r="AO205" s="57"/>
    </row>
    <row r="206" spans="6:41">
      <c r="F206" s="31"/>
      <c r="M206" s="31"/>
      <c r="U206" s="31"/>
      <c r="AA206" s="63"/>
      <c r="AC206" s="31"/>
      <c r="AN206" s="32"/>
      <c r="AO206" s="57"/>
    </row>
    <row r="207" spans="6:41">
      <c r="F207" s="31"/>
      <c r="M207" s="31"/>
      <c r="U207" s="31"/>
      <c r="AA207" s="63"/>
      <c r="AC207" s="31"/>
      <c r="AN207" s="32"/>
      <c r="AO207" s="57"/>
    </row>
    <row r="208" spans="6:41">
      <c r="F208" s="31"/>
      <c r="M208" s="31"/>
      <c r="U208" s="31"/>
      <c r="AA208" s="63"/>
      <c r="AC208" s="31"/>
      <c r="AN208" s="32"/>
      <c r="AO208" s="57"/>
    </row>
    <row r="209" spans="6:41">
      <c r="F209" s="31"/>
      <c r="M209" s="31"/>
      <c r="U209" s="31"/>
      <c r="AA209" s="63"/>
      <c r="AC209" s="31"/>
      <c r="AN209" s="32"/>
      <c r="AO209" s="57"/>
    </row>
    <row r="210" spans="6:41">
      <c r="F210" s="31"/>
      <c r="M210" s="31"/>
      <c r="U210" s="31"/>
      <c r="AA210" s="63"/>
      <c r="AC210" s="31"/>
      <c r="AN210" s="32"/>
      <c r="AO210" s="57"/>
    </row>
    <row r="211" spans="6:41">
      <c r="F211" s="31"/>
      <c r="M211" s="31"/>
      <c r="U211" s="31"/>
      <c r="AA211" s="63"/>
      <c r="AC211" s="31"/>
      <c r="AN211" s="32"/>
      <c r="AO211" s="57"/>
    </row>
    <row r="212" spans="6:41">
      <c r="F212" s="31"/>
      <c r="M212" s="31"/>
      <c r="U212" s="31"/>
      <c r="AA212" s="63"/>
      <c r="AC212" s="31"/>
      <c r="AN212" s="32"/>
      <c r="AO212" s="57"/>
    </row>
    <row r="213" spans="6:41">
      <c r="F213" s="31"/>
      <c r="M213" s="31"/>
      <c r="U213" s="31"/>
      <c r="AA213" s="63"/>
      <c r="AC213" s="31"/>
      <c r="AN213" s="32"/>
      <c r="AO213" s="57"/>
    </row>
    <row r="214" spans="6:41">
      <c r="F214" s="31"/>
      <c r="M214" s="31"/>
      <c r="U214" s="31"/>
      <c r="AA214" s="63"/>
      <c r="AC214" s="31"/>
      <c r="AN214" s="32"/>
      <c r="AO214" s="57"/>
    </row>
    <row r="215" spans="6:41">
      <c r="F215" s="31"/>
      <c r="M215" s="31"/>
      <c r="U215" s="31"/>
      <c r="AA215" s="63"/>
      <c r="AC215" s="31"/>
      <c r="AN215" s="32"/>
      <c r="AO215" s="57"/>
    </row>
    <row r="216" spans="6:41">
      <c r="F216" s="31"/>
      <c r="M216" s="31"/>
      <c r="U216" s="31"/>
      <c r="AA216" s="63"/>
      <c r="AC216" s="31"/>
      <c r="AN216" s="32"/>
      <c r="AO216" s="57"/>
    </row>
    <row r="217" spans="6:41">
      <c r="F217" s="31"/>
      <c r="M217" s="31"/>
      <c r="U217" s="31"/>
      <c r="AA217" s="63"/>
      <c r="AC217" s="31"/>
      <c r="AN217" s="32"/>
      <c r="AO217" s="57"/>
    </row>
    <row r="218" spans="6:41">
      <c r="F218" s="31"/>
      <c r="M218" s="31"/>
      <c r="U218" s="31"/>
      <c r="AA218" s="63"/>
      <c r="AC218" s="31"/>
      <c r="AN218" s="32"/>
      <c r="AO218" s="57"/>
    </row>
    <row r="219" spans="6:41">
      <c r="F219" s="31"/>
      <c r="M219" s="31"/>
      <c r="U219" s="31"/>
      <c r="AA219" s="63"/>
      <c r="AC219" s="31"/>
      <c r="AN219" s="32"/>
      <c r="AO219" s="57"/>
    </row>
    <row r="220" spans="6:41">
      <c r="F220" s="31"/>
      <c r="M220" s="31"/>
      <c r="U220" s="31"/>
      <c r="AA220" s="63"/>
      <c r="AC220" s="31"/>
      <c r="AN220" s="32"/>
      <c r="AO220" s="57"/>
    </row>
    <row r="221" spans="6:41">
      <c r="F221" s="31"/>
      <c r="M221" s="31"/>
      <c r="U221" s="31"/>
      <c r="AA221" s="63"/>
      <c r="AC221" s="31"/>
      <c r="AN221" s="32"/>
      <c r="AO221" s="57"/>
    </row>
    <row r="222" spans="6:41">
      <c r="F222" s="31"/>
      <c r="M222" s="31"/>
      <c r="U222" s="31"/>
      <c r="AA222" s="63"/>
      <c r="AC222" s="31"/>
      <c r="AN222" s="32"/>
      <c r="AO222" s="57"/>
    </row>
    <row r="223" spans="6:41">
      <c r="F223" s="31"/>
      <c r="M223" s="31"/>
      <c r="U223" s="31"/>
      <c r="AA223" s="63"/>
      <c r="AC223" s="31"/>
      <c r="AN223" s="32"/>
      <c r="AO223" s="57"/>
    </row>
    <row r="224" spans="6:41">
      <c r="F224" s="31"/>
      <c r="M224" s="31"/>
      <c r="U224" s="31"/>
      <c r="AA224" s="63"/>
      <c r="AC224" s="31"/>
      <c r="AN224" s="32"/>
      <c r="AO224" s="57"/>
    </row>
    <row r="225" spans="6:41">
      <c r="F225" s="31"/>
      <c r="M225" s="31"/>
      <c r="U225" s="31"/>
      <c r="AA225" s="63"/>
      <c r="AC225" s="31"/>
      <c r="AN225" s="32"/>
      <c r="AO225" s="57"/>
    </row>
    <row r="226" spans="6:41">
      <c r="F226" s="31"/>
      <c r="M226" s="31"/>
      <c r="U226" s="31"/>
      <c r="AA226" s="63"/>
      <c r="AC226" s="31"/>
      <c r="AN226" s="32"/>
      <c r="AO226" s="57"/>
    </row>
    <row r="227" spans="6:41">
      <c r="F227" s="31"/>
      <c r="M227" s="31"/>
      <c r="U227" s="31"/>
      <c r="AA227" s="63"/>
      <c r="AC227" s="31"/>
      <c r="AN227" s="32"/>
      <c r="AO227" s="57"/>
    </row>
    <row r="228" spans="6:41">
      <c r="F228" s="31"/>
      <c r="M228" s="31"/>
      <c r="U228" s="31"/>
      <c r="AA228" s="63"/>
      <c r="AC228" s="31"/>
      <c r="AN228" s="32"/>
      <c r="AO228" s="57"/>
    </row>
    <row r="229" spans="6:41">
      <c r="F229" s="31"/>
      <c r="M229" s="31"/>
      <c r="U229" s="31"/>
      <c r="AA229" s="63"/>
      <c r="AC229" s="31"/>
      <c r="AN229" s="32"/>
      <c r="AO229" s="57"/>
    </row>
    <row r="230" spans="6:41">
      <c r="F230" s="31"/>
      <c r="M230" s="31"/>
      <c r="U230" s="31"/>
      <c r="AA230" s="63"/>
      <c r="AC230" s="31"/>
      <c r="AN230" s="32"/>
      <c r="AO230" s="57"/>
    </row>
    <row r="231" spans="6:41">
      <c r="F231" s="31"/>
      <c r="M231" s="31"/>
      <c r="U231" s="31"/>
      <c r="AA231" s="63"/>
      <c r="AC231" s="31"/>
      <c r="AN231" s="32"/>
      <c r="AO231" s="57"/>
    </row>
    <row r="232" spans="6:41">
      <c r="F232" s="31"/>
      <c r="M232" s="31"/>
      <c r="U232" s="31"/>
      <c r="AA232" s="63"/>
      <c r="AC232" s="31"/>
      <c r="AN232" s="32"/>
      <c r="AO232" s="57"/>
    </row>
    <row r="233" spans="6:41">
      <c r="F233" s="31"/>
      <c r="M233" s="31"/>
      <c r="U233" s="31"/>
      <c r="AA233" s="63"/>
      <c r="AC233" s="31"/>
      <c r="AN233" s="32"/>
      <c r="AO233" s="57"/>
    </row>
    <row r="234" spans="6:41">
      <c r="F234" s="31"/>
      <c r="M234" s="31"/>
      <c r="U234" s="31"/>
      <c r="AA234" s="63"/>
      <c r="AC234" s="31"/>
      <c r="AN234" s="32"/>
      <c r="AO234" s="57"/>
    </row>
    <row r="235" spans="6:41">
      <c r="F235" s="31"/>
      <c r="M235" s="31"/>
      <c r="U235" s="31"/>
      <c r="AA235" s="63"/>
      <c r="AC235" s="31"/>
      <c r="AN235" s="32"/>
      <c r="AO235" s="57"/>
    </row>
    <row r="236" spans="6:41">
      <c r="F236" s="31"/>
      <c r="M236" s="31"/>
      <c r="U236" s="31"/>
      <c r="AA236" s="63"/>
      <c r="AC236" s="31"/>
      <c r="AN236" s="32"/>
      <c r="AO236" s="57"/>
    </row>
    <row r="237" spans="6:41">
      <c r="F237" s="31"/>
      <c r="M237" s="31"/>
      <c r="U237" s="31"/>
      <c r="AA237" s="63"/>
      <c r="AC237" s="31"/>
      <c r="AN237" s="32"/>
      <c r="AO237" s="57"/>
    </row>
    <row r="238" spans="6:41">
      <c r="F238" s="31"/>
      <c r="M238" s="31"/>
      <c r="U238" s="31"/>
      <c r="AA238" s="63"/>
      <c r="AC238" s="31"/>
      <c r="AN238" s="32"/>
      <c r="AO238" s="57"/>
    </row>
    <row r="239" spans="6:41">
      <c r="F239" s="31"/>
      <c r="M239" s="31"/>
      <c r="U239" s="31"/>
      <c r="AA239" s="63"/>
      <c r="AC239" s="31"/>
      <c r="AN239" s="32"/>
      <c r="AO239" s="57"/>
    </row>
    <row r="240" spans="6:41">
      <c r="F240" s="31"/>
      <c r="M240" s="31"/>
      <c r="U240" s="31"/>
      <c r="AA240" s="63"/>
      <c r="AC240" s="31"/>
      <c r="AN240" s="32"/>
      <c r="AO240" s="57"/>
    </row>
    <row r="241" spans="6:41">
      <c r="F241" s="31"/>
      <c r="M241" s="31"/>
      <c r="U241" s="31"/>
      <c r="AA241" s="63"/>
      <c r="AC241" s="31"/>
      <c r="AN241" s="32"/>
      <c r="AO241" s="57"/>
    </row>
    <row r="242" spans="6:41">
      <c r="F242" s="31"/>
      <c r="M242" s="31"/>
      <c r="U242" s="31"/>
      <c r="AA242" s="63"/>
      <c r="AC242" s="31"/>
      <c r="AN242" s="32"/>
      <c r="AO242" s="57"/>
    </row>
    <row r="243" spans="6:41">
      <c r="F243" s="31"/>
      <c r="M243" s="31"/>
      <c r="U243" s="31"/>
      <c r="AA243" s="63"/>
      <c r="AC243" s="31"/>
      <c r="AN243" s="32"/>
      <c r="AO243" s="57"/>
    </row>
    <row r="244" spans="6:41">
      <c r="F244" s="31"/>
      <c r="M244" s="31"/>
      <c r="U244" s="31"/>
      <c r="AA244" s="63"/>
      <c r="AC244" s="31"/>
      <c r="AN244" s="32"/>
      <c r="AO244" s="57"/>
    </row>
    <row r="245" spans="6:41">
      <c r="F245" s="31"/>
      <c r="M245" s="31"/>
      <c r="U245" s="31"/>
      <c r="AA245" s="63"/>
      <c r="AC245" s="31"/>
      <c r="AN245" s="32"/>
      <c r="AO245" s="57"/>
    </row>
    <row r="246" spans="6:41">
      <c r="F246" s="31"/>
      <c r="M246" s="31"/>
      <c r="U246" s="31"/>
      <c r="AA246" s="63"/>
      <c r="AC246" s="31"/>
      <c r="AN246" s="32"/>
      <c r="AO246" s="57"/>
    </row>
    <row r="247" spans="6:41">
      <c r="F247" s="31"/>
      <c r="M247" s="31"/>
      <c r="U247" s="31"/>
      <c r="AA247" s="63"/>
      <c r="AC247" s="31"/>
      <c r="AN247" s="32"/>
      <c r="AO247" s="57"/>
    </row>
    <row r="248" spans="6:41">
      <c r="F248" s="31"/>
      <c r="M248" s="31"/>
      <c r="U248" s="31"/>
      <c r="AA248" s="63"/>
      <c r="AC248" s="31"/>
      <c r="AN248" s="32"/>
      <c r="AO248" s="57"/>
    </row>
    <row r="249" spans="6:41">
      <c r="F249" s="31"/>
      <c r="M249" s="31"/>
      <c r="U249" s="31"/>
      <c r="AA249" s="63"/>
      <c r="AC249" s="31"/>
      <c r="AN249" s="32"/>
      <c r="AO249" s="57"/>
    </row>
    <row r="250" spans="6:41">
      <c r="F250" s="31"/>
      <c r="M250" s="31"/>
      <c r="U250" s="31"/>
      <c r="AA250" s="63"/>
      <c r="AC250" s="31"/>
      <c r="AN250" s="32"/>
      <c r="AO250" s="57"/>
    </row>
    <row r="251" spans="6:41">
      <c r="F251" s="31"/>
      <c r="M251" s="31"/>
      <c r="U251" s="31"/>
      <c r="AA251" s="63"/>
      <c r="AC251" s="31"/>
      <c r="AN251" s="32"/>
      <c r="AO251" s="57"/>
    </row>
    <row r="252" spans="6:41">
      <c r="F252" s="31"/>
      <c r="M252" s="31"/>
      <c r="U252" s="31"/>
      <c r="AA252" s="63"/>
      <c r="AC252" s="31"/>
      <c r="AN252" s="32"/>
      <c r="AO252" s="57"/>
    </row>
    <row r="253" spans="6:41">
      <c r="F253" s="31"/>
      <c r="M253" s="31"/>
      <c r="U253" s="31"/>
      <c r="AA253" s="63"/>
      <c r="AC253" s="31"/>
      <c r="AN253" s="32"/>
      <c r="AO253" s="57"/>
    </row>
    <row r="254" spans="6:41">
      <c r="F254" s="31"/>
      <c r="M254" s="31"/>
      <c r="U254" s="31"/>
      <c r="AA254" s="63"/>
      <c r="AC254" s="31"/>
      <c r="AN254" s="32"/>
      <c r="AO254" s="57"/>
    </row>
    <row r="255" spans="6:41">
      <c r="F255" s="31"/>
      <c r="M255" s="31"/>
      <c r="U255" s="31"/>
      <c r="AA255" s="63"/>
      <c r="AC255" s="31"/>
      <c r="AN255" s="32"/>
      <c r="AO255" s="57"/>
    </row>
    <row r="256" spans="6:41">
      <c r="F256" s="31"/>
      <c r="M256" s="31"/>
      <c r="U256" s="31"/>
      <c r="AA256" s="63"/>
      <c r="AC256" s="31"/>
      <c r="AN256" s="32"/>
      <c r="AO256" s="57"/>
    </row>
    <row r="257" spans="6:41">
      <c r="F257" s="31"/>
      <c r="M257" s="31"/>
      <c r="U257" s="31"/>
      <c r="AA257" s="63"/>
      <c r="AC257" s="31"/>
      <c r="AN257" s="32"/>
      <c r="AO257" s="57"/>
    </row>
    <row r="258" spans="6:41">
      <c r="F258" s="31"/>
      <c r="M258" s="31"/>
      <c r="U258" s="31"/>
      <c r="AA258" s="63"/>
      <c r="AC258" s="31"/>
      <c r="AN258" s="32"/>
      <c r="AO258" s="57"/>
    </row>
    <row r="259" spans="6:41">
      <c r="F259" s="31"/>
      <c r="M259" s="31"/>
      <c r="U259" s="31"/>
      <c r="AA259" s="63"/>
      <c r="AC259" s="31"/>
      <c r="AN259" s="32"/>
      <c r="AO259" s="57"/>
    </row>
    <row r="260" spans="6:41">
      <c r="F260" s="31"/>
      <c r="M260" s="31"/>
      <c r="U260" s="31"/>
      <c r="AA260" s="63"/>
      <c r="AC260" s="31"/>
      <c r="AN260" s="32"/>
      <c r="AO260" s="57"/>
    </row>
    <row r="261" spans="6:41">
      <c r="F261" s="31"/>
      <c r="M261" s="31"/>
      <c r="U261" s="31"/>
      <c r="AA261" s="63"/>
      <c r="AC261" s="31"/>
      <c r="AN261" s="32"/>
      <c r="AO261" s="57"/>
    </row>
    <row r="262" spans="6:41">
      <c r="F262" s="31"/>
      <c r="M262" s="31"/>
      <c r="U262" s="31"/>
      <c r="AA262" s="63"/>
      <c r="AC262" s="31"/>
      <c r="AN262" s="32"/>
      <c r="AO262" s="57"/>
    </row>
    <row r="263" spans="6:41">
      <c r="F263" s="31"/>
      <c r="M263" s="31"/>
      <c r="U263" s="31"/>
      <c r="AA263" s="63"/>
      <c r="AC263" s="31"/>
      <c r="AN263" s="32"/>
      <c r="AO263" s="57"/>
    </row>
    <row r="264" spans="6:41">
      <c r="F264" s="31"/>
      <c r="M264" s="31"/>
      <c r="U264" s="31"/>
      <c r="AA264" s="63"/>
      <c r="AC264" s="31"/>
      <c r="AN264" s="32"/>
      <c r="AO264" s="57"/>
    </row>
    <row r="265" spans="6:41">
      <c r="F265" s="31"/>
      <c r="M265" s="31"/>
      <c r="U265" s="31"/>
      <c r="AA265" s="63"/>
      <c r="AC265" s="31"/>
      <c r="AN265" s="32"/>
      <c r="AO265" s="57"/>
    </row>
    <row r="266" spans="6:41">
      <c r="F266" s="31"/>
      <c r="M266" s="31"/>
      <c r="U266" s="31"/>
      <c r="AA266" s="63"/>
      <c r="AC266" s="31"/>
      <c r="AN266" s="32"/>
      <c r="AO266" s="57"/>
    </row>
    <row r="267" spans="6:41">
      <c r="F267" s="31"/>
      <c r="M267" s="31"/>
      <c r="U267" s="31"/>
      <c r="AA267" s="63"/>
      <c r="AC267" s="31"/>
      <c r="AN267" s="32"/>
      <c r="AO267" s="57"/>
    </row>
    <row r="268" spans="6:41">
      <c r="F268" s="31"/>
      <c r="M268" s="31"/>
      <c r="U268" s="31"/>
      <c r="AA268" s="63"/>
      <c r="AC268" s="31"/>
      <c r="AN268" s="32"/>
      <c r="AO268" s="57"/>
    </row>
    <row r="269" spans="6:41">
      <c r="F269" s="31"/>
      <c r="M269" s="31"/>
      <c r="U269" s="31"/>
      <c r="AA269" s="63"/>
      <c r="AC269" s="31"/>
      <c r="AN269" s="32"/>
      <c r="AO269" s="57"/>
    </row>
    <row r="270" spans="6:41">
      <c r="F270" s="31"/>
      <c r="M270" s="31"/>
      <c r="U270" s="31"/>
      <c r="AA270" s="63"/>
      <c r="AC270" s="31"/>
      <c r="AN270" s="32"/>
      <c r="AO270" s="57"/>
    </row>
    <row r="271" spans="6:41">
      <c r="F271" s="31"/>
      <c r="M271" s="31"/>
      <c r="U271" s="31"/>
      <c r="AA271" s="63"/>
      <c r="AC271" s="31"/>
      <c r="AN271" s="32"/>
      <c r="AO271" s="57"/>
    </row>
    <row r="272" spans="6:41">
      <c r="F272" s="31"/>
      <c r="M272" s="31"/>
      <c r="U272" s="31"/>
      <c r="AA272" s="63"/>
      <c r="AC272" s="31"/>
      <c r="AN272" s="32"/>
      <c r="AO272" s="57"/>
    </row>
    <row r="273" spans="6:41">
      <c r="F273" s="31"/>
      <c r="M273" s="31"/>
      <c r="U273" s="31"/>
      <c r="AA273" s="63"/>
      <c r="AC273" s="31"/>
      <c r="AN273" s="32"/>
      <c r="AO273" s="57"/>
    </row>
    <row r="274" spans="6:41">
      <c r="F274" s="31"/>
      <c r="M274" s="31"/>
      <c r="U274" s="31"/>
      <c r="AA274" s="63"/>
      <c r="AC274" s="31"/>
      <c r="AN274" s="32"/>
      <c r="AO274" s="57"/>
    </row>
    <row r="275" spans="6:41">
      <c r="F275" s="31"/>
      <c r="M275" s="31"/>
      <c r="U275" s="31"/>
      <c r="AA275" s="63"/>
      <c r="AC275" s="31"/>
      <c r="AN275" s="32"/>
      <c r="AO275" s="57"/>
    </row>
    <row r="276" spans="6:41">
      <c r="F276" s="31"/>
      <c r="M276" s="31"/>
      <c r="U276" s="31"/>
      <c r="AA276" s="63"/>
      <c r="AC276" s="31"/>
      <c r="AN276" s="32"/>
      <c r="AO276" s="57"/>
    </row>
    <row r="277" spans="6:41">
      <c r="F277" s="31"/>
      <c r="M277" s="31"/>
      <c r="U277" s="31"/>
      <c r="AA277" s="63"/>
      <c r="AC277" s="31"/>
      <c r="AN277" s="32"/>
      <c r="AO277" s="57"/>
    </row>
    <row r="278" spans="6:41">
      <c r="F278" s="31"/>
      <c r="M278" s="31"/>
      <c r="U278" s="31"/>
      <c r="AA278" s="63"/>
      <c r="AC278" s="31"/>
      <c r="AN278" s="32"/>
      <c r="AO278" s="57"/>
    </row>
    <row r="279" spans="6:41">
      <c r="F279" s="31"/>
      <c r="M279" s="31"/>
      <c r="U279" s="31"/>
      <c r="AA279" s="63"/>
      <c r="AC279" s="31"/>
      <c r="AN279" s="32"/>
      <c r="AO279" s="57"/>
    </row>
    <row r="280" spans="6:41">
      <c r="F280" s="31"/>
      <c r="M280" s="31"/>
      <c r="U280" s="31"/>
      <c r="AA280" s="63"/>
      <c r="AC280" s="31"/>
      <c r="AN280" s="32"/>
      <c r="AO280" s="57"/>
    </row>
    <row r="281" spans="6:41">
      <c r="F281" s="31"/>
      <c r="M281" s="31"/>
      <c r="U281" s="31"/>
      <c r="AA281" s="63"/>
      <c r="AC281" s="31"/>
      <c r="AN281" s="32"/>
      <c r="AO281" s="57"/>
    </row>
    <row r="282" spans="6:41">
      <c r="F282" s="31"/>
      <c r="M282" s="31"/>
      <c r="U282" s="31"/>
      <c r="AA282" s="63"/>
      <c r="AC282" s="31"/>
      <c r="AN282" s="32"/>
      <c r="AO282" s="57"/>
    </row>
    <row r="283" spans="6:41">
      <c r="F283" s="31"/>
      <c r="M283" s="31"/>
      <c r="U283" s="31"/>
      <c r="AA283" s="63"/>
      <c r="AC283" s="31"/>
      <c r="AN283" s="32"/>
      <c r="AO283" s="57"/>
    </row>
    <row r="284" spans="6:41">
      <c r="F284" s="31"/>
      <c r="M284" s="31"/>
      <c r="U284" s="31"/>
      <c r="AA284" s="63"/>
      <c r="AC284" s="31"/>
      <c r="AN284" s="32"/>
      <c r="AO284" s="57"/>
    </row>
    <row r="285" spans="6:41">
      <c r="F285" s="31"/>
      <c r="M285" s="31"/>
      <c r="U285" s="31"/>
      <c r="AA285" s="63"/>
      <c r="AC285" s="31"/>
      <c r="AN285" s="32"/>
      <c r="AO285" s="57"/>
    </row>
    <row r="286" spans="6:41">
      <c r="F286" s="31"/>
      <c r="M286" s="31"/>
      <c r="U286" s="31"/>
      <c r="AA286" s="63"/>
      <c r="AC286" s="31"/>
      <c r="AN286" s="32"/>
      <c r="AO286" s="57"/>
    </row>
    <row r="287" spans="6:41">
      <c r="F287" s="31"/>
      <c r="M287" s="31"/>
      <c r="U287" s="31"/>
      <c r="AA287" s="63"/>
      <c r="AC287" s="31"/>
      <c r="AN287" s="32"/>
      <c r="AO287" s="57"/>
    </row>
    <row r="288" spans="6:41">
      <c r="F288" s="31"/>
      <c r="M288" s="31"/>
      <c r="U288" s="31"/>
      <c r="AA288" s="63"/>
      <c r="AC288" s="31"/>
      <c r="AN288" s="32"/>
      <c r="AO288" s="57"/>
    </row>
    <row r="289" spans="6:41">
      <c r="F289" s="31"/>
      <c r="M289" s="31"/>
      <c r="U289" s="31"/>
      <c r="AA289" s="63"/>
      <c r="AC289" s="31"/>
      <c r="AN289" s="32"/>
      <c r="AO289" s="57"/>
    </row>
    <row r="290" spans="6:41">
      <c r="F290" s="31"/>
      <c r="M290" s="31"/>
      <c r="U290" s="31"/>
      <c r="AA290" s="63"/>
      <c r="AC290" s="31"/>
      <c r="AN290" s="32"/>
      <c r="AO290" s="57"/>
    </row>
    <row r="291" spans="6:41">
      <c r="F291" s="31"/>
      <c r="M291" s="31"/>
      <c r="U291" s="31"/>
      <c r="AA291" s="63"/>
      <c r="AC291" s="31"/>
      <c r="AN291" s="32"/>
      <c r="AO291" s="57"/>
    </row>
    <row r="292" spans="6:41">
      <c r="F292" s="31"/>
      <c r="M292" s="31"/>
      <c r="U292" s="31"/>
      <c r="AA292" s="63"/>
      <c r="AC292" s="31"/>
      <c r="AN292" s="32"/>
      <c r="AO292" s="57"/>
    </row>
    <row r="293" spans="6:41">
      <c r="F293" s="31"/>
      <c r="M293" s="31"/>
      <c r="U293" s="31"/>
      <c r="AA293" s="63"/>
      <c r="AC293" s="31"/>
      <c r="AN293" s="32"/>
      <c r="AO293" s="57"/>
    </row>
    <row r="294" spans="6:41">
      <c r="F294" s="31"/>
      <c r="M294" s="31"/>
      <c r="U294" s="31"/>
      <c r="AA294" s="63"/>
      <c r="AC294" s="31"/>
      <c r="AN294" s="32"/>
      <c r="AO294" s="57"/>
    </row>
    <row r="295" spans="6:41">
      <c r="F295" s="31"/>
      <c r="M295" s="31"/>
      <c r="U295" s="31"/>
      <c r="AA295" s="63"/>
      <c r="AC295" s="31"/>
      <c r="AN295" s="32"/>
      <c r="AO295" s="57"/>
    </row>
    <row r="296" spans="6:41">
      <c r="F296" s="31"/>
      <c r="M296" s="31"/>
      <c r="U296" s="31"/>
      <c r="AA296" s="63"/>
      <c r="AC296" s="31"/>
      <c r="AN296" s="32"/>
      <c r="AO296" s="57"/>
    </row>
    <row r="297" spans="6:41">
      <c r="F297" s="31"/>
      <c r="M297" s="31"/>
      <c r="U297" s="31"/>
      <c r="AA297" s="63"/>
      <c r="AC297" s="31"/>
      <c r="AN297" s="32"/>
      <c r="AO297" s="57"/>
    </row>
    <row r="298" spans="6:41">
      <c r="F298" s="31"/>
      <c r="M298" s="31"/>
      <c r="U298" s="31"/>
      <c r="AA298" s="63"/>
      <c r="AC298" s="31"/>
      <c r="AN298" s="32"/>
      <c r="AO298" s="57"/>
    </row>
    <row r="299" spans="6:41">
      <c r="F299" s="31"/>
      <c r="M299" s="31"/>
      <c r="U299" s="31"/>
      <c r="AA299" s="63"/>
      <c r="AC299" s="31"/>
      <c r="AN299" s="32"/>
      <c r="AO299" s="57"/>
    </row>
    <row r="300" spans="6:41">
      <c r="F300" s="31"/>
      <c r="M300" s="31"/>
      <c r="U300" s="31"/>
      <c r="AA300" s="63"/>
      <c r="AC300" s="31"/>
      <c r="AN300" s="32"/>
      <c r="AO300" s="57"/>
    </row>
    <row r="301" spans="6:41">
      <c r="F301" s="31"/>
      <c r="M301" s="31"/>
      <c r="U301" s="31"/>
      <c r="AA301" s="63"/>
      <c r="AC301" s="31"/>
      <c r="AN301" s="32"/>
      <c r="AO301" s="57"/>
    </row>
    <row r="302" spans="6:41">
      <c r="F302" s="31"/>
      <c r="M302" s="31"/>
      <c r="U302" s="31"/>
      <c r="AA302" s="63"/>
      <c r="AC302" s="31"/>
      <c r="AN302" s="32"/>
      <c r="AO302" s="57"/>
    </row>
    <row r="303" spans="6:41">
      <c r="F303" s="31"/>
      <c r="M303" s="31"/>
      <c r="U303" s="31"/>
      <c r="AA303" s="63"/>
      <c r="AC303" s="31"/>
      <c r="AN303" s="32"/>
      <c r="AO303" s="57"/>
    </row>
    <row r="304" spans="6:41">
      <c r="F304" s="31"/>
      <c r="M304" s="31"/>
      <c r="U304" s="31"/>
      <c r="AA304" s="63"/>
      <c r="AC304" s="31"/>
      <c r="AN304" s="32"/>
      <c r="AO304" s="57"/>
    </row>
    <row r="305" spans="6:41">
      <c r="F305" s="31"/>
      <c r="M305" s="31"/>
      <c r="U305" s="31"/>
      <c r="AA305" s="63"/>
      <c r="AC305" s="31"/>
      <c r="AN305" s="32"/>
      <c r="AO305" s="57"/>
    </row>
    <row r="306" spans="6:41">
      <c r="F306" s="31"/>
      <c r="M306" s="31"/>
      <c r="U306" s="31"/>
      <c r="AA306" s="63"/>
      <c r="AC306" s="31"/>
      <c r="AN306" s="32"/>
      <c r="AO306" s="57"/>
    </row>
    <row r="307" spans="6:41">
      <c r="F307" s="31"/>
      <c r="M307" s="31"/>
      <c r="U307" s="31"/>
      <c r="AA307" s="63"/>
      <c r="AC307" s="31"/>
      <c r="AN307" s="32"/>
      <c r="AO307" s="57"/>
    </row>
    <row r="308" spans="6:41">
      <c r="F308" s="31"/>
      <c r="M308" s="31"/>
      <c r="U308" s="31"/>
      <c r="AA308" s="63"/>
      <c r="AC308" s="31"/>
      <c r="AN308" s="32"/>
      <c r="AO308" s="57"/>
    </row>
    <row r="309" spans="6:41">
      <c r="F309" s="31"/>
      <c r="M309" s="31"/>
      <c r="U309" s="31"/>
      <c r="AA309" s="63"/>
      <c r="AC309" s="31"/>
      <c r="AN309" s="32"/>
      <c r="AO309" s="57"/>
    </row>
    <row r="310" spans="6:41">
      <c r="F310" s="31"/>
      <c r="M310" s="31"/>
      <c r="U310" s="31"/>
      <c r="AA310" s="63"/>
      <c r="AC310" s="31"/>
      <c r="AN310" s="32"/>
      <c r="AO310" s="57"/>
    </row>
    <row r="311" spans="6:41">
      <c r="F311" s="31"/>
      <c r="M311" s="31"/>
      <c r="U311" s="31"/>
      <c r="AA311" s="63"/>
      <c r="AC311" s="31"/>
      <c r="AN311" s="32"/>
      <c r="AO311" s="57"/>
    </row>
    <row r="312" spans="6:41">
      <c r="F312" s="31"/>
      <c r="M312" s="31"/>
      <c r="U312" s="31"/>
      <c r="AA312" s="63"/>
      <c r="AC312" s="31"/>
      <c r="AN312" s="32"/>
      <c r="AO312" s="57"/>
    </row>
    <row r="313" spans="6:41">
      <c r="F313" s="31"/>
      <c r="M313" s="31"/>
      <c r="U313" s="31"/>
      <c r="AA313" s="63"/>
      <c r="AC313" s="31"/>
      <c r="AN313" s="32"/>
      <c r="AO313" s="57"/>
    </row>
    <row r="314" spans="6:41">
      <c r="F314" s="31"/>
      <c r="M314" s="31"/>
      <c r="U314" s="31"/>
      <c r="AA314" s="63"/>
      <c r="AC314" s="31"/>
      <c r="AN314" s="32"/>
      <c r="AO314" s="57"/>
    </row>
    <row r="315" spans="6:41">
      <c r="F315" s="31"/>
      <c r="M315" s="31"/>
      <c r="U315" s="31"/>
      <c r="AA315" s="63"/>
      <c r="AC315" s="31"/>
      <c r="AN315" s="32"/>
      <c r="AO315" s="57"/>
    </row>
    <row r="316" spans="6:41">
      <c r="F316" s="31"/>
      <c r="M316" s="31"/>
      <c r="U316" s="31"/>
      <c r="AA316" s="63"/>
      <c r="AC316" s="31"/>
      <c r="AN316" s="32"/>
      <c r="AO316" s="57"/>
    </row>
    <row r="317" spans="6:41">
      <c r="F317" s="31"/>
      <c r="M317" s="31"/>
      <c r="U317" s="31"/>
      <c r="AA317" s="63"/>
      <c r="AC317" s="31"/>
      <c r="AN317" s="32"/>
      <c r="AO317" s="57"/>
    </row>
    <row r="318" spans="6:41">
      <c r="F318" s="31"/>
      <c r="M318" s="31"/>
      <c r="U318" s="31"/>
      <c r="AA318" s="63"/>
      <c r="AC318" s="31"/>
      <c r="AN318" s="32"/>
      <c r="AO318" s="57"/>
    </row>
    <row r="319" spans="6:41">
      <c r="F319" s="31"/>
      <c r="M319" s="31"/>
      <c r="U319" s="31"/>
      <c r="AA319" s="63"/>
      <c r="AC319" s="31"/>
      <c r="AN319" s="32"/>
      <c r="AO319" s="57"/>
    </row>
    <row r="320" spans="6:41">
      <c r="F320" s="31"/>
      <c r="M320" s="31"/>
      <c r="U320" s="31"/>
      <c r="AA320" s="63"/>
      <c r="AC320" s="31"/>
      <c r="AN320" s="32"/>
      <c r="AO320" s="57"/>
    </row>
    <row r="321" spans="6:41">
      <c r="F321" s="31"/>
      <c r="M321" s="31"/>
      <c r="U321" s="31"/>
      <c r="AA321" s="63"/>
      <c r="AC321" s="31"/>
      <c r="AN321" s="32"/>
      <c r="AO321" s="57"/>
    </row>
    <row r="322" spans="6:41">
      <c r="F322" s="31"/>
      <c r="M322" s="31"/>
      <c r="U322" s="31"/>
      <c r="AA322" s="63"/>
      <c r="AC322" s="31"/>
      <c r="AN322" s="32"/>
      <c r="AO322" s="57"/>
    </row>
    <row r="323" spans="6:41">
      <c r="F323" s="31"/>
      <c r="M323" s="31"/>
      <c r="U323" s="31"/>
      <c r="AA323" s="63"/>
      <c r="AC323" s="31"/>
      <c r="AN323" s="32"/>
      <c r="AO323" s="57"/>
    </row>
    <row r="324" spans="6:41">
      <c r="F324" s="31"/>
      <c r="M324" s="31"/>
      <c r="U324" s="31"/>
      <c r="AA324" s="63"/>
      <c r="AC324" s="31"/>
      <c r="AN324" s="32"/>
      <c r="AO324" s="57"/>
    </row>
    <row r="325" spans="6:41">
      <c r="F325" s="31"/>
      <c r="M325" s="31"/>
      <c r="U325" s="31"/>
      <c r="AA325" s="63"/>
      <c r="AC325" s="31"/>
      <c r="AN325" s="32"/>
      <c r="AO325" s="57"/>
    </row>
    <row r="326" spans="6:41">
      <c r="F326" s="31"/>
      <c r="M326" s="31"/>
      <c r="U326" s="31"/>
      <c r="AA326" s="63"/>
      <c r="AC326" s="31"/>
      <c r="AN326" s="32"/>
      <c r="AO326" s="57"/>
    </row>
    <row r="327" spans="6:41">
      <c r="F327" s="31"/>
      <c r="M327" s="31"/>
      <c r="U327" s="31"/>
      <c r="AA327" s="63"/>
      <c r="AC327" s="31"/>
      <c r="AN327" s="32"/>
      <c r="AO327" s="57"/>
    </row>
    <row r="328" spans="6:41">
      <c r="F328" s="31"/>
      <c r="M328" s="31"/>
      <c r="U328" s="31"/>
      <c r="AA328" s="63"/>
      <c r="AC328" s="31"/>
      <c r="AN328" s="32"/>
      <c r="AO328" s="57"/>
    </row>
    <row r="329" spans="6:41">
      <c r="F329" s="31"/>
      <c r="M329" s="31"/>
      <c r="U329" s="31"/>
      <c r="AA329" s="63"/>
      <c r="AC329" s="31"/>
      <c r="AN329" s="32"/>
      <c r="AO329" s="57"/>
    </row>
    <row r="330" spans="6:41">
      <c r="F330" s="31"/>
      <c r="M330" s="31"/>
      <c r="U330" s="31"/>
      <c r="AA330" s="63"/>
      <c r="AC330" s="31"/>
      <c r="AN330" s="32"/>
      <c r="AO330" s="57"/>
    </row>
    <row r="331" spans="6:41">
      <c r="F331" s="31"/>
      <c r="M331" s="31"/>
      <c r="U331" s="31"/>
      <c r="AA331" s="63"/>
      <c r="AC331" s="31"/>
      <c r="AN331" s="32"/>
      <c r="AO331" s="57"/>
    </row>
    <row r="332" spans="6:41">
      <c r="F332" s="31"/>
      <c r="M332" s="31"/>
      <c r="U332" s="31"/>
      <c r="AA332" s="63"/>
      <c r="AC332" s="31"/>
      <c r="AN332" s="32"/>
      <c r="AO332" s="57"/>
    </row>
    <row r="333" spans="6:41">
      <c r="F333" s="31"/>
      <c r="M333" s="31"/>
      <c r="U333" s="31"/>
      <c r="AA333" s="63"/>
      <c r="AC333" s="31"/>
      <c r="AN333" s="32"/>
      <c r="AO333" s="57"/>
    </row>
    <row r="334" spans="6:41">
      <c r="F334" s="31"/>
      <c r="M334" s="31"/>
      <c r="U334" s="31"/>
      <c r="AA334" s="63"/>
      <c r="AC334" s="31"/>
      <c r="AN334" s="32"/>
      <c r="AO334" s="57"/>
    </row>
    <row r="335" spans="6:41">
      <c r="F335" s="31"/>
      <c r="M335" s="31"/>
      <c r="U335" s="31"/>
      <c r="AA335" s="63"/>
      <c r="AC335" s="31"/>
      <c r="AN335" s="32"/>
      <c r="AO335" s="57"/>
    </row>
    <row r="336" spans="6:41">
      <c r="F336" s="31"/>
      <c r="M336" s="31"/>
      <c r="U336" s="31"/>
      <c r="AA336" s="63"/>
      <c r="AC336" s="31"/>
      <c r="AN336" s="32"/>
      <c r="AO336" s="57"/>
    </row>
    <row r="337" spans="6:41">
      <c r="F337" s="31"/>
      <c r="M337" s="31"/>
      <c r="U337" s="31"/>
      <c r="AA337" s="63"/>
      <c r="AC337" s="31"/>
      <c r="AN337" s="32"/>
      <c r="AO337" s="57"/>
    </row>
    <row r="338" spans="6:41">
      <c r="F338" s="31"/>
      <c r="M338" s="31"/>
      <c r="U338" s="31"/>
      <c r="AA338" s="63"/>
      <c r="AC338" s="31"/>
      <c r="AN338" s="32"/>
      <c r="AO338" s="57"/>
    </row>
    <row r="339" spans="6:41">
      <c r="F339" s="31"/>
      <c r="M339" s="31"/>
      <c r="U339" s="31"/>
      <c r="AA339" s="63"/>
      <c r="AC339" s="31"/>
      <c r="AN339" s="32"/>
      <c r="AO339" s="57"/>
    </row>
    <row r="340" spans="6:41">
      <c r="F340" s="31"/>
      <c r="M340" s="31"/>
      <c r="U340" s="31"/>
      <c r="AA340" s="63"/>
      <c r="AC340" s="31"/>
      <c r="AN340" s="32"/>
      <c r="AO340" s="57"/>
    </row>
    <row r="341" spans="6:41">
      <c r="F341" s="31"/>
      <c r="M341" s="31"/>
      <c r="U341" s="31"/>
      <c r="AA341" s="63"/>
      <c r="AC341" s="31"/>
      <c r="AN341" s="32"/>
      <c r="AO341" s="57"/>
    </row>
    <row r="342" spans="6:41">
      <c r="F342" s="31"/>
      <c r="M342" s="31"/>
      <c r="U342" s="31"/>
      <c r="AA342" s="63"/>
      <c r="AC342" s="31"/>
      <c r="AN342" s="32"/>
      <c r="AO342" s="57"/>
    </row>
    <row r="343" spans="6:41">
      <c r="F343" s="31"/>
      <c r="M343" s="31"/>
      <c r="U343" s="31"/>
      <c r="AA343" s="63"/>
      <c r="AC343" s="31"/>
      <c r="AN343" s="32"/>
      <c r="AO343" s="57"/>
    </row>
    <row r="344" spans="6:41">
      <c r="F344" s="31"/>
      <c r="M344" s="31"/>
      <c r="U344" s="31"/>
      <c r="AA344" s="63"/>
      <c r="AC344" s="31"/>
      <c r="AN344" s="32"/>
      <c r="AO344" s="57"/>
    </row>
    <row r="345" spans="6:41">
      <c r="F345" s="31"/>
      <c r="M345" s="31"/>
      <c r="U345" s="31"/>
      <c r="AA345" s="63"/>
      <c r="AC345" s="31"/>
      <c r="AN345" s="32"/>
      <c r="AO345" s="57"/>
    </row>
    <row r="346" spans="6:41">
      <c r="F346" s="31"/>
      <c r="M346" s="31"/>
      <c r="U346" s="31"/>
      <c r="AA346" s="63"/>
      <c r="AC346" s="31"/>
      <c r="AN346" s="32"/>
      <c r="AO346" s="57"/>
    </row>
    <row r="347" spans="6:41">
      <c r="F347" s="31"/>
      <c r="M347" s="31"/>
      <c r="U347" s="31"/>
      <c r="AA347" s="63"/>
      <c r="AC347" s="31"/>
      <c r="AN347" s="32"/>
      <c r="AO347" s="57"/>
    </row>
    <row r="348" spans="6:41">
      <c r="F348" s="31"/>
      <c r="M348" s="31"/>
      <c r="U348" s="31"/>
      <c r="AA348" s="63"/>
      <c r="AC348" s="31"/>
      <c r="AN348" s="32"/>
      <c r="AO348" s="57"/>
    </row>
    <row r="349" spans="6:41">
      <c r="F349" s="31"/>
      <c r="M349" s="31"/>
      <c r="U349" s="31"/>
      <c r="AA349" s="63"/>
      <c r="AC349" s="31"/>
      <c r="AN349" s="32"/>
      <c r="AO349" s="57"/>
    </row>
    <row r="350" spans="6:41">
      <c r="F350" s="31"/>
      <c r="M350" s="31"/>
      <c r="U350" s="31"/>
      <c r="AA350" s="63"/>
      <c r="AC350" s="31"/>
      <c r="AN350" s="32"/>
      <c r="AO350" s="57"/>
    </row>
    <row r="351" spans="6:41">
      <c r="F351" s="31"/>
      <c r="M351" s="31"/>
      <c r="U351" s="31"/>
      <c r="AA351" s="63"/>
      <c r="AC351" s="31"/>
      <c r="AN351" s="32"/>
      <c r="AO351" s="57"/>
    </row>
    <row r="352" spans="6:41">
      <c r="F352" s="31"/>
      <c r="M352" s="31"/>
      <c r="U352" s="31"/>
      <c r="AA352" s="63"/>
      <c r="AC352" s="31"/>
      <c r="AN352" s="32"/>
      <c r="AO352" s="57"/>
    </row>
    <row r="353" spans="6:41">
      <c r="F353" s="31"/>
      <c r="M353" s="31"/>
      <c r="U353" s="31"/>
      <c r="AA353" s="63"/>
      <c r="AC353" s="31"/>
      <c r="AN353" s="32"/>
      <c r="AO353" s="57"/>
    </row>
    <row r="354" spans="6:41">
      <c r="F354" s="31"/>
      <c r="M354" s="31"/>
      <c r="U354" s="31"/>
      <c r="AA354" s="63"/>
      <c r="AC354" s="31"/>
      <c r="AN354" s="32"/>
      <c r="AO354" s="57"/>
    </row>
    <row r="355" spans="6:41">
      <c r="F355" s="31"/>
      <c r="M355" s="31"/>
      <c r="U355" s="31"/>
      <c r="AA355" s="63"/>
      <c r="AC355" s="31"/>
      <c r="AN355" s="32"/>
      <c r="AO355" s="57"/>
    </row>
    <row r="356" spans="6:41">
      <c r="F356" s="31"/>
      <c r="M356" s="31"/>
      <c r="U356" s="31"/>
      <c r="AA356" s="63"/>
      <c r="AC356" s="31"/>
      <c r="AN356" s="32"/>
      <c r="AO356" s="57"/>
    </row>
    <row r="357" spans="6:41">
      <c r="F357" s="31"/>
      <c r="M357" s="31"/>
      <c r="U357" s="31"/>
      <c r="AA357" s="63"/>
      <c r="AC357" s="31"/>
      <c r="AN357" s="32"/>
      <c r="AO357" s="57"/>
    </row>
    <row r="358" spans="6:41">
      <c r="F358" s="31"/>
      <c r="M358" s="31"/>
      <c r="U358" s="31"/>
      <c r="AA358" s="63"/>
      <c r="AC358" s="31"/>
      <c r="AN358" s="32"/>
      <c r="AO358" s="57"/>
    </row>
    <row r="359" spans="6:41">
      <c r="F359" s="31"/>
      <c r="M359" s="31"/>
      <c r="U359" s="31"/>
      <c r="AA359" s="63"/>
      <c r="AC359" s="31"/>
      <c r="AN359" s="32"/>
      <c r="AO359" s="57"/>
    </row>
    <row r="360" spans="6:41">
      <c r="F360" s="31"/>
      <c r="M360" s="31"/>
      <c r="U360" s="31"/>
      <c r="AA360" s="63"/>
      <c r="AC360" s="31"/>
      <c r="AN360" s="32"/>
      <c r="AO360" s="57"/>
    </row>
    <row r="361" spans="6:41">
      <c r="F361" s="31"/>
      <c r="M361" s="31"/>
      <c r="U361" s="31"/>
      <c r="AA361" s="63"/>
      <c r="AC361" s="31"/>
      <c r="AN361" s="32"/>
      <c r="AO361" s="57"/>
    </row>
    <row r="362" spans="6:41">
      <c r="F362" s="31"/>
      <c r="M362" s="31"/>
      <c r="U362" s="31"/>
      <c r="AA362" s="63"/>
      <c r="AC362" s="31"/>
      <c r="AN362" s="32"/>
      <c r="AO362" s="57"/>
    </row>
    <row r="363" spans="6:41">
      <c r="F363" s="31"/>
      <c r="M363" s="31"/>
      <c r="U363" s="31"/>
      <c r="AA363" s="63"/>
      <c r="AC363" s="31"/>
      <c r="AN363" s="32"/>
      <c r="AO363" s="57"/>
    </row>
    <row r="364" spans="6:41">
      <c r="F364" s="31"/>
      <c r="M364" s="31"/>
      <c r="U364" s="31"/>
      <c r="AA364" s="63"/>
      <c r="AC364" s="31"/>
      <c r="AN364" s="32"/>
      <c r="AO364" s="57"/>
    </row>
    <row r="365" spans="6:41">
      <c r="F365" s="31"/>
      <c r="M365" s="31"/>
      <c r="U365" s="31"/>
      <c r="AA365" s="63"/>
      <c r="AC365" s="31"/>
      <c r="AN365" s="32"/>
      <c r="AO365" s="57"/>
    </row>
    <row r="366" spans="6:41">
      <c r="F366" s="31"/>
      <c r="M366" s="31"/>
      <c r="U366" s="31"/>
      <c r="AA366" s="63"/>
      <c r="AC366" s="31"/>
      <c r="AN366" s="32"/>
      <c r="AO366" s="57"/>
    </row>
    <row r="367" spans="6:41">
      <c r="F367" s="31"/>
      <c r="M367" s="31"/>
      <c r="U367" s="31"/>
      <c r="AA367" s="63"/>
      <c r="AC367" s="31"/>
      <c r="AN367" s="32"/>
      <c r="AO367" s="57"/>
    </row>
    <row r="368" spans="6:41">
      <c r="F368" s="31"/>
      <c r="M368" s="31"/>
      <c r="U368" s="31"/>
      <c r="AA368" s="63"/>
      <c r="AC368" s="31"/>
      <c r="AN368" s="32"/>
      <c r="AO368" s="57"/>
    </row>
    <row r="369" spans="6:41">
      <c r="F369" s="31"/>
      <c r="M369" s="31"/>
      <c r="U369" s="31"/>
      <c r="AA369" s="63"/>
      <c r="AC369" s="31"/>
      <c r="AN369" s="32"/>
      <c r="AO369" s="57"/>
    </row>
    <row r="370" spans="6:41">
      <c r="F370" s="31"/>
      <c r="M370" s="31"/>
      <c r="U370" s="31"/>
      <c r="AA370" s="63"/>
      <c r="AC370" s="31"/>
      <c r="AN370" s="32"/>
      <c r="AO370" s="57"/>
    </row>
    <row r="371" spans="6:41">
      <c r="F371" s="31"/>
      <c r="M371" s="31"/>
      <c r="U371" s="31"/>
      <c r="AA371" s="63"/>
      <c r="AC371" s="31"/>
      <c r="AN371" s="32"/>
      <c r="AO371" s="57"/>
    </row>
    <row r="372" spans="6:41">
      <c r="F372" s="31"/>
      <c r="M372" s="31"/>
      <c r="U372" s="31"/>
      <c r="AA372" s="63"/>
      <c r="AC372" s="31"/>
      <c r="AN372" s="32"/>
      <c r="AO372" s="57"/>
    </row>
    <row r="373" spans="6:41">
      <c r="F373" s="31"/>
      <c r="M373" s="31"/>
      <c r="U373" s="31"/>
      <c r="AA373" s="63"/>
      <c r="AC373" s="31"/>
      <c r="AN373" s="32"/>
      <c r="AO373" s="57"/>
    </row>
    <row r="374" spans="6:41">
      <c r="F374" s="31"/>
      <c r="M374" s="31"/>
      <c r="U374" s="31"/>
      <c r="AA374" s="63"/>
      <c r="AC374" s="31"/>
      <c r="AN374" s="32"/>
      <c r="AO374" s="57"/>
    </row>
    <row r="375" spans="6:41">
      <c r="F375" s="31"/>
      <c r="M375" s="31"/>
      <c r="U375" s="31"/>
      <c r="AA375" s="63"/>
      <c r="AC375" s="31"/>
      <c r="AN375" s="32"/>
      <c r="AO375" s="57"/>
    </row>
    <row r="376" spans="6:41">
      <c r="F376" s="31"/>
      <c r="M376" s="31"/>
      <c r="U376" s="31"/>
      <c r="AA376" s="63"/>
      <c r="AC376" s="31"/>
      <c r="AN376" s="32"/>
      <c r="AO376" s="57"/>
    </row>
    <row r="377" spans="6:41">
      <c r="F377" s="31"/>
      <c r="M377" s="31"/>
      <c r="U377" s="31"/>
      <c r="AA377" s="63"/>
      <c r="AC377" s="31"/>
      <c r="AN377" s="32"/>
      <c r="AO377" s="57"/>
    </row>
    <row r="378" spans="6:41">
      <c r="F378" s="31"/>
      <c r="M378" s="31"/>
      <c r="U378" s="31"/>
      <c r="AA378" s="63"/>
      <c r="AC378" s="31"/>
      <c r="AN378" s="32"/>
      <c r="AO378" s="57"/>
    </row>
    <row r="379" spans="6:41">
      <c r="F379" s="31"/>
      <c r="M379" s="31"/>
      <c r="U379" s="31"/>
      <c r="AA379" s="63"/>
      <c r="AC379" s="31"/>
      <c r="AN379" s="32"/>
      <c r="AO379" s="57"/>
    </row>
    <row r="380" spans="6:41">
      <c r="F380" s="31"/>
      <c r="M380" s="31"/>
      <c r="U380" s="31"/>
      <c r="AA380" s="63"/>
      <c r="AC380" s="31"/>
      <c r="AN380" s="32"/>
      <c r="AO380" s="57"/>
    </row>
    <row r="381" spans="6:41">
      <c r="F381" s="31"/>
      <c r="M381" s="31"/>
      <c r="U381" s="31"/>
      <c r="AA381" s="63"/>
      <c r="AC381" s="31"/>
      <c r="AN381" s="32"/>
      <c r="AO381" s="57"/>
    </row>
    <row r="382" spans="6:41">
      <c r="F382" s="31"/>
      <c r="M382" s="31"/>
      <c r="U382" s="31"/>
      <c r="AA382" s="63"/>
      <c r="AC382" s="31"/>
      <c r="AN382" s="32"/>
      <c r="AO382" s="57"/>
    </row>
    <row r="383" spans="6:41">
      <c r="F383" s="31"/>
      <c r="M383" s="31"/>
      <c r="U383" s="31"/>
      <c r="AA383" s="63"/>
      <c r="AC383" s="31"/>
      <c r="AN383" s="32"/>
      <c r="AO383" s="57"/>
    </row>
    <row r="384" spans="6:41">
      <c r="F384" s="31"/>
      <c r="M384" s="31"/>
      <c r="U384" s="31"/>
      <c r="AA384" s="63"/>
      <c r="AC384" s="31"/>
      <c r="AN384" s="32"/>
      <c r="AO384" s="57"/>
    </row>
    <row r="385" spans="6:41">
      <c r="F385" s="31"/>
      <c r="M385" s="31"/>
      <c r="U385" s="31"/>
      <c r="AA385" s="63"/>
      <c r="AC385" s="31"/>
      <c r="AN385" s="32"/>
      <c r="AO385" s="57"/>
    </row>
    <row r="386" spans="6:41">
      <c r="F386" s="31"/>
      <c r="M386" s="31"/>
      <c r="U386" s="31"/>
      <c r="AA386" s="63"/>
      <c r="AC386" s="31"/>
      <c r="AN386" s="32"/>
      <c r="AO386" s="57"/>
    </row>
    <row r="387" spans="6:41">
      <c r="F387" s="31"/>
      <c r="M387" s="31"/>
      <c r="U387" s="31"/>
      <c r="AA387" s="63"/>
      <c r="AC387" s="31"/>
      <c r="AN387" s="32"/>
      <c r="AO387" s="57"/>
    </row>
    <row r="388" spans="6:41">
      <c r="F388" s="31"/>
      <c r="M388" s="31"/>
      <c r="U388" s="31"/>
      <c r="AA388" s="63"/>
      <c r="AC388" s="31"/>
      <c r="AN388" s="32"/>
      <c r="AO388" s="57"/>
    </row>
    <row r="389" spans="6:41">
      <c r="F389" s="31"/>
      <c r="M389" s="31"/>
      <c r="U389" s="31"/>
      <c r="AA389" s="63"/>
      <c r="AC389" s="31"/>
      <c r="AN389" s="32"/>
      <c r="AO389" s="57"/>
    </row>
    <row r="390" spans="6:41">
      <c r="F390" s="31"/>
      <c r="M390" s="31"/>
      <c r="U390" s="31"/>
      <c r="AA390" s="63"/>
      <c r="AC390" s="31"/>
      <c r="AN390" s="32"/>
      <c r="AO390" s="57"/>
    </row>
    <row r="391" spans="6:41">
      <c r="F391" s="31"/>
      <c r="M391" s="31"/>
      <c r="U391" s="31"/>
      <c r="AA391" s="63"/>
      <c r="AC391" s="31"/>
      <c r="AN391" s="32"/>
      <c r="AO391" s="57"/>
    </row>
    <row r="392" spans="6:41">
      <c r="F392" s="31"/>
      <c r="M392" s="31"/>
      <c r="U392" s="31"/>
      <c r="AA392" s="63"/>
      <c r="AC392" s="31"/>
      <c r="AN392" s="32"/>
      <c r="AO392" s="57"/>
    </row>
    <row r="393" spans="6:41">
      <c r="F393" s="31"/>
      <c r="M393" s="31"/>
      <c r="U393" s="31"/>
      <c r="AA393" s="63"/>
      <c r="AC393" s="31"/>
      <c r="AN393" s="32"/>
      <c r="AO393" s="57"/>
    </row>
    <row r="394" spans="6:41">
      <c r="F394" s="31"/>
      <c r="M394" s="31"/>
      <c r="U394" s="31"/>
      <c r="AA394" s="63"/>
      <c r="AC394" s="31"/>
      <c r="AN394" s="32"/>
      <c r="AO394" s="57"/>
    </row>
    <row r="395" spans="6:41">
      <c r="F395" s="31"/>
      <c r="M395" s="31"/>
      <c r="U395" s="31"/>
      <c r="AA395" s="63"/>
      <c r="AC395" s="31"/>
      <c r="AN395" s="32"/>
      <c r="AO395" s="57"/>
    </row>
    <row r="396" spans="6:41">
      <c r="F396" s="31"/>
      <c r="M396" s="31"/>
      <c r="U396" s="31"/>
      <c r="AA396" s="63"/>
      <c r="AC396" s="31"/>
      <c r="AN396" s="32"/>
      <c r="AO396" s="57"/>
    </row>
    <row r="397" spans="6:41">
      <c r="F397" s="31"/>
      <c r="M397" s="31"/>
      <c r="U397" s="31"/>
      <c r="AA397" s="63"/>
      <c r="AC397" s="31"/>
      <c r="AN397" s="32"/>
      <c r="AO397" s="57"/>
    </row>
    <row r="398" spans="6:41">
      <c r="F398" s="31"/>
      <c r="M398" s="31"/>
      <c r="U398" s="31"/>
      <c r="AA398" s="63"/>
      <c r="AC398" s="31"/>
      <c r="AN398" s="32"/>
      <c r="AO398" s="57"/>
    </row>
    <row r="399" spans="6:41">
      <c r="F399" s="31"/>
      <c r="M399" s="31"/>
      <c r="U399" s="31"/>
      <c r="AA399" s="63"/>
      <c r="AC399" s="31"/>
      <c r="AN399" s="32"/>
      <c r="AO399" s="57"/>
    </row>
    <row r="400" spans="6:41">
      <c r="F400" s="31"/>
      <c r="M400" s="31"/>
      <c r="U400" s="31"/>
      <c r="AA400" s="63"/>
      <c r="AC400" s="31"/>
      <c r="AN400" s="32"/>
      <c r="AO400" s="57"/>
    </row>
    <row r="401" spans="6:41">
      <c r="F401" s="31"/>
      <c r="M401" s="31"/>
      <c r="U401" s="31"/>
      <c r="AA401" s="63"/>
      <c r="AC401" s="31"/>
      <c r="AN401" s="32"/>
      <c r="AO401" s="57"/>
    </row>
    <row r="402" spans="6:41">
      <c r="F402" s="31"/>
      <c r="M402" s="31"/>
      <c r="U402" s="31"/>
      <c r="AA402" s="63"/>
      <c r="AC402" s="31"/>
      <c r="AN402" s="32"/>
      <c r="AO402" s="57"/>
    </row>
    <row r="403" spans="6:41">
      <c r="F403" s="31"/>
      <c r="M403" s="31"/>
      <c r="U403" s="31"/>
      <c r="AA403" s="63"/>
      <c r="AC403" s="31"/>
      <c r="AN403" s="32"/>
      <c r="AO403" s="57"/>
    </row>
    <row r="404" spans="6:41">
      <c r="F404" s="31"/>
      <c r="M404" s="31"/>
      <c r="U404" s="31"/>
      <c r="AA404" s="63"/>
      <c r="AC404" s="31"/>
      <c r="AN404" s="32"/>
      <c r="AO404" s="57"/>
    </row>
    <row r="405" spans="6:41">
      <c r="F405" s="31"/>
      <c r="M405" s="31"/>
      <c r="U405" s="31"/>
      <c r="AA405" s="63"/>
      <c r="AC405" s="31"/>
      <c r="AN405" s="32"/>
      <c r="AO405" s="57"/>
    </row>
    <row r="406" spans="6:41">
      <c r="F406" s="31"/>
      <c r="M406" s="31"/>
      <c r="U406" s="31"/>
      <c r="AA406" s="63"/>
      <c r="AC406" s="31"/>
      <c r="AN406" s="32"/>
      <c r="AO406" s="57"/>
    </row>
    <row r="407" spans="6:41">
      <c r="F407" s="31"/>
      <c r="M407" s="31"/>
      <c r="U407" s="31"/>
      <c r="AA407" s="63"/>
      <c r="AC407" s="31"/>
      <c r="AN407" s="32"/>
      <c r="AO407" s="57"/>
    </row>
    <row r="408" spans="6:41">
      <c r="F408" s="31"/>
      <c r="M408" s="31"/>
      <c r="U408" s="31"/>
      <c r="AA408" s="63"/>
      <c r="AC408" s="31"/>
      <c r="AN408" s="32"/>
      <c r="AO408" s="57"/>
    </row>
    <row r="409" spans="6:41">
      <c r="F409" s="31"/>
      <c r="M409" s="31"/>
      <c r="U409" s="31"/>
      <c r="AA409" s="63"/>
      <c r="AC409" s="31"/>
      <c r="AN409" s="32"/>
      <c r="AO409" s="57"/>
    </row>
    <row r="410" spans="6:41">
      <c r="F410" s="31"/>
      <c r="M410" s="31"/>
      <c r="U410" s="31"/>
      <c r="AA410" s="63"/>
      <c r="AC410" s="31"/>
      <c r="AN410" s="32"/>
      <c r="AO410" s="57"/>
    </row>
    <row r="411" spans="6:41">
      <c r="F411" s="31"/>
      <c r="M411" s="31"/>
      <c r="U411" s="31"/>
      <c r="AA411" s="63"/>
      <c r="AC411" s="31"/>
      <c r="AN411" s="32"/>
      <c r="AO411" s="57"/>
    </row>
    <row r="412" spans="6:41">
      <c r="F412" s="31"/>
      <c r="M412" s="31"/>
      <c r="U412" s="31"/>
      <c r="AA412" s="63"/>
      <c r="AC412" s="31"/>
      <c r="AN412" s="32"/>
      <c r="AO412" s="57"/>
    </row>
    <row r="413" spans="6:41">
      <c r="F413" s="31"/>
      <c r="M413" s="31"/>
      <c r="U413" s="31"/>
      <c r="AA413" s="63"/>
      <c r="AC413" s="31"/>
      <c r="AN413" s="32"/>
      <c r="AO413" s="57"/>
    </row>
    <row r="414" spans="6:41">
      <c r="F414" s="31"/>
      <c r="M414" s="31"/>
      <c r="U414" s="31"/>
      <c r="AA414" s="63"/>
      <c r="AC414" s="31"/>
      <c r="AN414" s="32"/>
      <c r="AO414" s="57"/>
    </row>
    <row r="415" spans="6:41">
      <c r="F415" s="31"/>
      <c r="M415" s="31"/>
      <c r="U415" s="31"/>
      <c r="AA415" s="63"/>
      <c r="AC415" s="31"/>
      <c r="AN415" s="32"/>
      <c r="AO415" s="57"/>
    </row>
    <row r="416" spans="6:41">
      <c r="F416" s="31"/>
      <c r="M416" s="31"/>
      <c r="U416" s="31"/>
      <c r="AA416" s="63"/>
      <c r="AC416" s="31"/>
      <c r="AN416" s="32"/>
      <c r="AO416" s="57"/>
    </row>
    <row r="417" spans="6:41">
      <c r="F417" s="31"/>
      <c r="M417" s="31"/>
      <c r="U417" s="31"/>
      <c r="AA417" s="63"/>
      <c r="AC417" s="31"/>
      <c r="AN417" s="32"/>
      <c r="AO417" s="57"/>
    </row>
    <row r="418" spans="6:41">
      <c r="F418" s="31"/>
      <c r="M418" s="31"/>
      <c r="U418" s="31"/>
      <c r="AA418" s="63"/>
      <c r="AC418" s="31"/>
      <c r="AN418" s="32"/>
      <c r="AO418" s="57"/>
    </row>
    <row r="419" spans="6:41">
      <c r="F419" s="31"/>
      <c r="M419" s="31"/>
      <c r="U419" s="31"/>
      <c r="AA419" s="63"/>
      <c r="AC419" s="31"/>
      <c r="AN419" s="32"/>
      <c r="AO419" s="57"/>
    </row>
    <row r="420" spans="6:41">
      <c r="F420" s="31"/>
      <c r="M420" s="31"/>
      <c r="U420" s="31"/>
      <c r="AA420" s="63"/>
      <c r="AC420" s="31"/>
      <c r="AN420" s="32"/>
      <c r="AO420" s="57"/>
    </row>
    <row r="421" spans="6:41">
      <c r="F421" s="31"/>
      <c r="M421" s="31"/>
      <c r="U421" s="31"/>
      <c r="AA421" s="63"/>
      <c r="AC421" s="31"/>
      <c r="AN421" s="32"/>
      <c r="AO421" s="57"/>
    </row>
    <row r="422" spans="6:41">
      <c r="F422" s="31"/>
      <c r="M422" s="31"/>
      <c r="U422" s="31"/>
      <c r="AA422" s="63"/>
      <c r="AC422" s="31"/>
      <c r="AN422" s="32"/>
      <c r="AO422" s="57"/>
    </row>
    <row r="423" spans="6:41">
      <c r="F423" s="31"/>
      <c r="M423" s="31"/>
      <c r="U423" s="31"/>
      <c r="AA423" s="63"/>
      <c r="AC423" s="31"/>
      <c r="AN423" s="32"/>
      <c r="AO423" s="57"/>
    </row>
    <row r="424" spans="6:41">
      <c r="F424" s="31"/>
      <c r="M424" s="31"/>
      <c r="U424" s="31"/>
      <c r="AA424" s="63"/>
      <c r="AC424" s="31"/>
      <c r="AN424" s="32"/>
      <c r="AO424" s="57"/>
    </row>
    <row r="425" spans="6:41">
      <c r="F425" s="31"/>
      <c r="M425" s="31"/>
      <c r="U425" s="31"/>
      <c r="AA425" s="63"/>
      <c r="AC425" s="31"/>
      <c r="AN425" s="32"/>
      <c r="AO425" s="57"/>
    </row>
    <row r="426" spans="6:41">
      <c r="F426" s="31"/>
      <c r="M426" s="31"/>
      <c r="U426" s="31"/>
      <c r="AA426" s="63"/>
      <c r="AC426" s="31"/>
      <c r="AN426" s="32"/>
      <c r="AO426" s="57"/>
    </row>
    <row r="427" spans="6:41">
      <c r="F427" s="31"/>
      <c r="M427" s="31"/>
      <c r="U427" s="31"/>
      <c r="AA427" s="63"/>
      <c r="AC427" s="31"/>
      <c r="AN427" s="32"/>
      <c r="AO427" s="57"/>
    </row>
    <row r="428" spans="6:41">
      <c r="F428" s="31"/>
      <c r="M428" s="31"/>
      <c r="U428" s="31"/>
      <c r="AA428" s="63"/>
      <c r="AC428" s="31"/>
      <c r="AN428" s="32"/>
      <c r="AO428" s="57"/>
    </row>
    <row r="429" spans="6:41">
      <c r="F429" s="31"/>
      <c r="M429" s="31"/>
      <c r="U429" s="31"/>
      <c r="AA429" s="63"/>
      <c r="AC429" s="31"/>
      <c r="AN429" s="32"/>
      <c r="AO429" s="57"/>
    </row>
    <row r="430" spans="6:41">
      <c r="F430" s="31"/>
      <c r="M430" s="31"/>
      <c r="U430" s="31"/>
      <c r="AA430" s="63"/>
      <c r="AC430" s="31"/>
      <c r="AN430" s="32"/>
      <c r="AO430" s="57"/>
    </row>
    <row r="431" spans="6:41">
      <c r="F431" s="31"/>
      <c r="M431" s="31"/>
      <c r="U431" s="31"/>
      <c r="AA431" s="63"/>
      <c r="AC431" s="31"/>
      <c r="AN431" s="32"/>
      <c r="AO431" s="57"/>
    </row>
    <row r="432" spans="6:41">
      <c r="F432" s="31"/>
      <c r="M432" s="31"/>
      <c r="U432" s="31"/>
      <c r="AA432" s="63"/>
      <c r="AC432" s="31"/>
      <c r="AN432" s="32"/>
      <c r="AO432" s="57"/>
    </row>
    <row r="433" spans="6:41">
      <c r="F433" s="31"/>
      <c r="M433" s="31"/>
      <c r="U433" s="31"/>
      <c r="AA433" s="63"/>
      <c r="AC433" s="31"/>
      <c r="AN433" s="32"/>
      <c r="AO433" s="57"/>
    </row>
    <row r="434" spans="6:41">
      <c r="F434" s="31"/>
      <c r="M434" s="31"/>
      <c r="U434" s="31"/>
      <c r="AA434" s="63"/>
      <c r="AC434" s="31"/>
      <c r="AN434" s="32"/>
      <c r="AO434" s="57"/>
    </row>
    <row r="435" spans="6:41">
      <c r="F435" s="31"/>
      <c r="M435" s="31"/>
      <c r="U435" s="31"/>
      <c r="AA435" s="63"/>
      <c r="AC435" s="31"/>
      <c r="AN435" s="32"/>
      <c r="AO435" s="57"/>
    </row>
    <row r="436" spans="6:41">
      <c r="F436" s="31"/>
      <c r="M436" s="31"/>
      <c r="U436" s="31"/>
      <c r="AA436" s="63"/>
      <c r="AC436" s="31"/>
      <c r="AN436" s="32"/>
      <c r="AO436" s="57"/>
    </row>
    <row r="437" spans="6:41">
      <c r="F437" s="31"/>
      <c r="M437" s="31"/>
      <c r="U437" s="31"/>
      <c r="AA437" s="63"/>
      <c r="AC437" s="31"/>
      <c r="AN437" s="32"/>
      <c r="AO437" s="57"/>
    </row>
    <row r="438" spans="6:41">
      <c r="F438" s="31"/>
      <c r="M438" s="31"/>
      <c r="U438" s="31"/>
      <c r="AA438" s="63"/>
      <c r="AC438" s="31"/>
      <c r="AN438" s="32"/>
      <c r="AO438" s="57"/>
    </row>
    <row r="439" spans="6:41">
      <c r="F439" s="31"/>
      <c r="M439" s="31"/>
      <c r="U439" s="31"/>
      <c r="AA439" s="63"/>
      <c r="AC439" s="31"/>
      <c r="AN439" s="32"/>
      <c r="AO439" s="57"/>
    </row>
    <row r="440" spans="6:41">
      <c r="F440" s="31"/>
      <c r="M440" s="31"/>
      <c r="U440" s="31"/>
      <c r="AA440" s="63"/>
      <c r="AC440" s="31"/>
      <c r="AN440" s="32"/>
      <c r="AO440" s="57"/>
    </row>
    <row r="441" spans="6:41">
      <c r="F441" s="31"/>
      <c r="M441" s="31"/>
      <c r="U441" s="31"/>
      <c r="AA441" s="63"/>
      <c r="AC441" s="31"/>
      <c r="AN441" s="32"/>
      <c r="AO441" s="57"/>
    </row>
    <row r="442" spans="6:41">
      <c r="F442" s="31"/>
      <c r="M442" s="31"/>
      <c r="U442" s="31"/>
      <c r="AA442" s="63"/>
      <c r="AC442" s="31"/>
      <c r="AN442" s="32"/>
      <c r="AO442" s="57"/>
    </row>
    <row r="443" spans="6:41">
      <c r="F443" s="31"/>
      <c r="M443" s="31"/>
      <c r="U443" s="31"/>
      <c r="AA443" s="63"/>
      <c r="AC443" s="31"/>
      <c r="AN443" s="32"/>
      <c r="AO443" s="57"/>
    </row>
    <row r="444" spans="6:41">
      <c r="F444" s="31"/>
      <c r="M444" s="31"/>
      <c r="U444" s="31"/>
      <c r="AA444" s="63"/>
      <c r="AC444" s="31"/>
      <c r="AN444" s="32"/>
      <c r="AO444" s="57"/>
    </row>
    <row r="445" spans="6:41">
      <c r="F445" s="31"/>
      <c r="M445" s="31"/>
      <c r="U445" s="31"/>
      <c r="AA445" s="63"/>
      <c r="AC445" s="31"/>
      <c r="AN445" s="32"/>
      <c r="AO445" s="57"/>
    </row>
    <row r="446" spans="6:41">
      <c r="F446" s="31"/>
      <c r="M446" s="31"/>
      <c r="U446" s="31"/>
      <c r="AA446" s="63"/>
      <c r="AC446" s="31"/>
      <c r="AN446" s="32"/>
      <c r="AO446" s="57"/>
    </row>
    <row r="447" spans="6:41">
      <c r="F447" s="31"/>
      <c r="M447" s="31"/>
      <c r="U447" s="31"/>
      <c r="AA447" s="63"/>
      <c r="AC447" s="31"/>
      <c r="AN447" s="32"/>
      <c r="AO447" s="57"/>
    </row>
    <row r="448" spans="6:41">
      <c r="F448" s="31"/>
      <c r="M448" s="31"/>
      <c r="U448" s="31"/>
      <c r="AA448" s="63"/>
      <c r="AC448" s="31"/>
      <c r="AN448" s="32"/>
      <c r="AO448" s="57"/>
    </row>
    <row r="449" spans="6:41">
      <c r="F449" s="31"/>
      <c r="M449" s="31"/>
      <c r="U449" s="31"/>
      <c r="AA449" s="63"/>
      <c r="AC449" s="31"/>
      <c r="AN449" s="32"/>
      <c r="AO449" s="57"/>
    </row>
    <row r="450" spans="6:41">
      <c r="F450" s="31"/>
      <c r="M450" s="31"/>
      <c r="U450" s="31"/>
      <c r="AA450" s="63"/>
      <c r="AC450" s="31"/>
      <c r="AN450" s="32"/>
      <c r="AO450" s="57"/>
    </row>
    <row r="451" spans="6:41">
      <c r="F451" s="31"/>
      <c r="M451" s="31"/>
      <c r="U451" s="31"/>
      <c r="AA451" s="63"/>
      <c r="AC451" s="31"/>
      <c r="AN451" s="32"/>
      <c r="AO451" s="57"/>
    </row>
    <row r="452" spans="6:41">
      <c r="F452" s="31"/>
      <c r="M452" s="31"/>
      <c r="U452" s="31"/>
      <c r="AA452" s="63"/>
      <c r="AC452" s="31"/>
      <c r="AN452" s="32"/>
      <c r="AO452" s="57"/>
    </row>
    <row r="453" spans="6:41">
      <c r="F453" s="31"/>
      <c r="M453" s="31"/>
      <c r="U453" s="31"/>
      <c r="AA453" s="63"/>
      <c r="AC453" s="31"/>
      <c r="AN453" s="32"/>
      <c r="AO453" s="57"/>
    </row>
    <row r="454" spans="6:41">
      <c r="F454" s="31"/>
      <c r="M454" s="31"/>
      <c r="U454" s="31"/>
      <c r="AA454" s="63"/>
      <c r="AC454" s="31"/>
      <c r="AN454" s="32"/>
      <c r="AO454" s="57"/>
    </row>
    <row r="455" spans="6:41">
      <c r="F455" s="31"/>
      <c r="M455" s="31"/>
      <c r="U455" s="31"/>
      <c r="AA455" s="63"/>
      <c r="AC455" s="31"/>
      <c r="AN455" s="32"/>
      <c r="AO455" s="57"/>
    </row>
    <row r="456" spans="6:41">
      <c r="F456" s="31"/>
      <c r="M456" s="31"/>
      <c r="U456" s="31"/>
      <c r="AA456" s="63"/>
      <c r="AC456" s="31"/>
      <c r="AN456" s="32"/>
      <c r="AO456" s="57"/>
    </row>
    <row r="457" spans="6:41">
      <c r="F457" s="31"/>
      <c r="M457" s="31"/>
      <c r="U457" s="31"/>
      <c r="AA457" s="63"/>
      <c r="AC457" s="31"/>
      <c r="AN457" s="32"/>
      <c r="AO457" s="57"/>
    </row>
    <row r="458" spans="6:41">
      <c r="F458" s="31"/>
      <c r="M458" s="31"/>
      <c r="U458" s="31"/>
      <c r="AA458" s="63"/>
      <c r="AC458" s="31"/>
      <c r="AN458" s="32"/>
      <c r="AO458" s="57"/>
    </row>
    <row r="459" spans="6:41">
      <c r="F459" s="31"/>
      <c r="M459" s="31"/>
      <c r="U459" s="31"/>
      <c r="AA459" s="63"/>
      <c r="AC459" s="31"/>
      <c r="AN459" s="32"/>
      <c r="AO459" s="57"/>
    </row>
    <row r="460" spans="6:41">
      <c r="F460" s="31"/>
      <c r="M460" s="31"/>
      <c r="U460" s="31"/>
      <c r="AA460" s="63"/>
      <c r="AC460" s="31"/>
      <c r="AN460" s="32"/>
      <c r="AO460" s="57"/>
    </row>
    <row r="461" spans="6:41">
      <c r="F461" s="31"/>
      <c r="M461" s="31"/>
      <c r="U461" s="31"/>
      <c r="AA461" s="63"/>
      <c r="AC461" s="31"/>
      <c r="AN461" s="32"/>
      <c r="AO461" s="57"/>
    </row>
    <row r="462" spans="6:41">
      <c r="F462" s="31"/>
      <c r="M462" s="31"/>
      <c r="U462" s="31"/>
      <c r="AA462" s="63"/>
      <c r="AC462" s="31"/>
      <c r="AN462" s="32"/>
      <c r="AO462" s="57"/>
    </row>
    <row r="463" spans="6:41">
      <c r="F463" s="31"/>
      <c r="M463" s="31"/>
      <c r="U463" s="31"/>
      <c r="AA463" s="63"/>
      <c r="AC463" s="31"/>
      <c r="AN463" s="32"/>
      <c r="AO463" s="57"/>
    </row>
    <row r="464" spans="6:41">
      <c r="F464" s="31"/>
      <c r="M464" s="31"/>
      <c r="U464" s="31"/>
      <c r="AA464" s="63"/>
      <c r="AC464" s="31"/>
      <c r="AN464" s="32"/>
      <c r="AO464" s="57"/>
    </row>
    <row r="465" spans="6:41">
      <c r="F465" s="31"/>
      <c r="M465" s="31"/>
      <c r="U465" s="31"/>
      <c r="AA465" s="63"/>
      <c r="AC465" s="31"/>
      <c r="AN465" s="32"/>
      <c r="AO465" s="57"/>
    </row>
    <row r="466" spans="6:41">
      <c r="F466" s="31"/>
      <c r="M466" s="31"/>
      <c r="U466" s="31"/>
      <c r="AA466" s="63"/>
      <c r="AC466" s="31"/>
      <c r="AN466" s="32"/>
      <c r="AO466" s="57"/>
    </row>
    <row r="467" spans="6:41">
      <c r="F467" s="31"/>
      <c r="M467" s="31"/>
      <c r="U467" s="31"/>
      <c r="AA467" s="63"/>
      <c r="AC467" s="31"/>
      <c r="AN467" s="32"/>
      <c r="AO467" s="57"/>
    </row>
    <row r="468" spans="6:41">
      <c r="F468" s="31"/>
      <c r="M468" s="31"/>
      <c r="U468" s="31"/>
      <c r="AA468" s="63"/>
      <c r="AC468" s="31"/>
      <c r="AN468" s="32"/>
      <c r="AO468" s="57"/>
    </row>
    <row r="469" spans="6:41">
      <c r="F469" s="31"/>
      <c r="M469" s="31"/>
      <c r="U469" s="31"/>
      <c r="AA469" s="63"/>
      <c r="AC469" s="31"/>
      <c r="AN469" s="32"/>
      <c r="AO469" s="57"/>
    </row>
    <row r="470" spans="6:41">
      <c r="F470" s="31"/>
      <c r="M470" s="31"/>
      <c r="U470" s="31"/>
      <c r="AA470" s="63"/>
      <c r="AC470" s="31"/>
      <c r="AN470" s="32"/>
      <c r="AO470" s="57"/>
    </row>
    <row r="471" spans="6:41">
      <c r="F471" s="31"/>
      <c r="M471" s="31"/>
      <c r="U471" s="31"/>
      <c r="AA471" s="63"/>
      <c r="AC471" s="31"/>
      <c r="AN471" s="32"/>
      <c r="AO471" s="57"/>
    </row>
    <row r="472" spans="6:41">
      <c r="F472" s="31"/>
      <c r="M472" s="31"/>
      <c r="U472" s="31"/>
      <c r="AA472" s="63"/>
      <c r="AC472" s="31"/>
      <c r="AN472" s="32"/>
      <c r="AO472" s="57"/>
    </row>
    <row r="473" spans="6:41">
      <c r="F473" s="31"/>
      <c r="M473" s="31"/>
      <c r="U473" s="31"/>
      <c r="AA473" s="63"/>
      <c r="AC473" s="31"/>
      <c r="AN473" s="32"/>
      <c r="AO473" s="57"/>
    </row>
    <row r="474" spans="6:41">
      <c r="F474" s="31"/>
      <c r="M474" s="31"/>
      <c r="U474" s="31"/>
      <c r="AA474" s="63"/>
      <c r="AC474" s="31"/>
      <c r="AN474" s="32"/>
      <c r="AO474" s="57"/>
    </row>
    <row r="475" spans="6:41">
      <c r="F475" s="31"/>
      <c r="M475" s="31"/>
      <c r="U475" s="31"/>
      <c r="AA475" s="63"/>
      <c r="AC475" s="31"/>
      <c r="AN475" s="32"/>
      <c r="AO475" s="57"/>
    </row>
    <row r="476" spans="6:41">
      <c r="F476" s="31"/>
      <c r="M476" s="31"/>
      <c r="U476" s="31"/>
      <c r="AA476" s="63"/>
      <c r="AC476" s="31"/>
      <c r="AN476" s="32"/>
      <c r="AO476" s="57"/>
    </row>
    <row r="477" spans="6:41">
      <c r="F477" s="31"/>
      <c r="M477" s="31"/>
      <c r="U477" s="31"/>
      <c r="AA477" s="63"/>
      <c r="AC477" s="31"/>
      <c r="AN477" s="32"/>
      <c r="AO477" s="57"/>
    </row>
    <row r="478" spans="6:41">
      <c r="F478" s="31"/>
      <c r="M478" s="31"/>
      <c r="U478" s="31"/>
      <c r="AA478" s="63"/>
      <c r="AC478" s="31"/>
      <c r="AN478" s="32"/>
      <c r="AO478" s="57"/>
    </row>
    <row r="479" spans="6:41">
      <c r="F479" s="31"/>
      <c r="M479" s="31"/>
      <c r="U479" s="31"/>
      <c r="AA479" s="63"/>
      <c r="AC479" s="31"/>
      <c r="AN479" s="32"/>
      <c r="AO479" s="57"/>
    </row>
    <row r="480" spans="6:41">
      <c r="F480" s="31"/>
      <c r="M480" s="31"/>
      <c r="U480" s="31"/>
      <c r="AA480" s="63"/>
      <c r="AC480" s="31"/>
      <c r="AN480" s="32"/>
      <c r="AO480" s="57"/>
    </row>
    <row r="481" spans="6:41">
      <c r="F481" s="31"/>
      <c r="M481" s="31"/>
      <c r="U481" s="31"/>
      <c r="AA481" s="63"/>
      <c r="AC481" s="31"/>
      <c r="AN481" s="32"/>
      <c r="AO481" s="57"/>
    </row>
    <row r="482" spans="6:41">
      <c r="F482" s="31"/>
      <c r="M482" s="31"/>
      <c r="U482" s="31"/>
      <c r="AA482" s="63"/>
      <c r="AC482" s="31"/>
      <c r="AN482" s="32"/>
      <c r="AO482" s="57"/>
    </row>
    <row r="483" spans="6:41">
      <c r="F483" s="31"/>
      <c r="M483" s="31"/>
      <c r="U483" s="31"/>
      <c r="AA483" s="63"/>
      <c r="AC483" s="31"/>
      <c r="AN483" s="32"/>
      <c r="AO483" s="57"/>
    </row>
    <row r="484" spans="6:41">
      <c r="F484" s="31"/>
      <c r="M484" s="31"/>
      <c r="U484" s="31"/>
      <c r="AA484" s="63"/>
      <c r="AC484" s="31"/>
      <c r="AN484" s="32"/>
      <c r="AO484" s="57"/>
    </row>
    <row r="485" spans="6:41">
      <c r="F485" s="31"/>
      <c r="M485" s="31"/>
      <c r="U485" s="31"/>
      <c r="AA485" s="63"/>
      <c r="AC485" s="31"/>
      <c r="AN485" s="32"/>
      <c r="AO485" s="57"/>
    </row>
    <row r="486" spans="6:41">
      <c r="F486" s="31"/>
      <c r="M486" s="31"/>
      <c r="U486" s="31"/>
      <c r="AA486" s="63"/>
      <c r="AC486" s="31"/>
      <c r="AN486" s="32"/>
      <c r="AO486" s="57"/>
    </row>
    <row r="487" spans="6:41">
      <c r="F487" s="31"/>
      <c r="M487" s="31"/>
      <c r="U487" s="31"/>
      <c r="AA487" s="63"/>
      <c r="AC487" s="31"/>
      <c r="AN487" s="32"/>
      <c r="AO487" s="57"/>
    </row>
    <row r="488" spans="6:41">
      <c r="F488" s="31"/>
      <c r="M488" s="31"/>
      <c r="U488" s="31"/>
      <c r="AA488" s="63"/>
      <c r="AC488" s="31"/>
      <c r="AN488" s="32"/>
      <c r="AO488" s="57"/>
    </row>
    <row r="489" spans="6:41">
      <c r="F489" s="31"/>
      <c r="M489" s="31"/>
      <c r="U489" s="31"/>
      <c r="AA489" s="63"/>
      <c r="AC489" s="31"/>
      <c r="AN489" s="32"/>
      <c r="AO489" s="57"/>
    </row>
    <row r="490" spans="6:41">
      <c r="F490" s="31"/>
      <c r="M490" s="31"/>
      <c r="U490" s="31"/>
      <c r="AA490" s="63"/>
      <c r="AC490" s="31"/>
      <c r="AN490" s="32"/>
      <c r="AO490" s="57"/>
    </row>
    <row r="491" spans="6:41">
      <c r="F491" s="31"/>
      <c r="M491" s="31"/>
      <c r="U491" s="31"/>
      <c r="AA491" s="63"/>
      <c r="AC491" s="31"/>
      <c r="AN491" s="32"/>
      <c r="AO491" s="57"/>
    </row>
    <row r="492" spans="6:41">
      <c r="F492" s="31"/>
      <c r="M492" s="31"/>
      <c r="U492" s="31"/>
      <c r="AA492" s="63"/>
      <c r="AC492" s="31"/>
      <c r="AN492" s="32"/>
      <c r="AO492" s="57"/>
    </row>
    <row r="493" spans="6:41">
      <c r="F493" s="31"/>
      <c r="M493" s="31"/>
      <c r="U493" s="31"/>
      <c r="AA493" s="63"/>
      <c r="AC493" s="31"/>
      <c r="AN493" s="32"/>
      <c r="AO493" s="57"/>
    </row>
    <row r="494" spans="6:41">
      <c r="F494" s="31"/>
      <c r="M494" s="31"/>
      <c r="U494" s="31"/>
      <c r="AA494" s="63"/>
      <c r="AC494" s="31"/>
      <c r="AN494" s="32"/>
      <c r="AO494" s="57"/>
    </row>
    <row r="495" spans="6:41">
      <c r="F495" s="31"/>
      <c r="M495" s="31"/>
      <c r="U495" s="31"/>
      <c r="AA495" s="63"/>
      <c r="AC495" s="31"/>
      <c r="AN495" s="32"/>
      <c r="AO495" s="57"/>
    </row>
    <row r="496" spans="6:41">
      <c r="F496" s="31"/>
      <c r="M496" s="31"/>
      <c r="U496" s="31"/>
      <c r="AA496" s="63"/>
      <c r="AC496" s="31"/>
      <c r="AN496" s="32"/>
      <c r="AO496" s="57"/>
    </row>
    <row r="497" spans="6:41">
      <c r="F497" s="31"/>
      <c r="M497" s="31"/>
      <c r="U497" s="31"/>
      <c r="AA497" s="63"/>
      <c r="AC497" s="31"/>
      <c r="AN497" s="32"/>
      <c r="AO497" s="57"/>
    </row>
    <row r="498" spans="6:41">
      <c r="F498" s="31"/>
      <c r="M498" s="31"/>
      <c r="U498" s="31"/>
      <c r="AA498" s="63"/>
      <c r="AC498" s="31"/>
      <c r="AN498" s="32"/>
      <c r="AO498" s="57"/>
    </row>
    <row r="499" spans="6:41">
      <c r="F499" s="31"/>
      <c r="M499" s="31"/>
      <c r="U499" s="31"/>
      <c r="AA499" s="63"/>
      <c r="AC499" s="31"/>
      <c r="AN499" s="32"/>
      <c r="AO499" s="57"/>
    </row>
    <row r="500" spans="6:41">
      <c r="F500" s="31"/>
      <c r="M500" s="31"/>
      <c r="U500" s="31"/>
      <c r="AA500" s="63"/>
      <c r="AC500" s="31"/>
      <c r="AN500" s="32"/>
      <c r="AO500" s="57"/>
    </row>
    <row r="501" spans="6:41">
      <c r="F501" s="31"/>
      <c r="M501" s="31"/>
      <c r="U501" s="31"/>
      <c r="AA501" s="63"/>
      <c r="AC501" s="31"/>
      <c r="AN501" s="32"/>
      <c r="AO501" s="57"/>
    </row>
    <row r="502" spans="6:41">
      <c r="F502" s="31"/>
      <c r="M502" s="31"/>
      <c r="U502" s="31"/>
      <c r="AA502" s="63"/>
      <c r="AC502" s="31"/>
      <c r="AN502" s="32"/>
      <c r="AO502" s="57"/>
    </row>
    <row r="503" spans="6:41">
      <c r="F503" s="31"/>
      <c r="M503" s="31"/>
      <c r="U503" s="31"/>
      <c r="AA503" s="63"/>
      <c r="AC503" s="31"/>
      <c r="AN503" s="32"/>
      <c r="AO503" s="57"/>
    </row>
    <row r="504" spans="6:41">
      <c r="F504" s="31"/>
      <c r="M504" s="31"/>
      <c r="U504" s="31"/>
      <c r="AA504" s="63"/>
      <c r="AC504" s="31"/>
      <c r="AN504" s="32"/>
      <c r="AO504" s="57"/>
    </row>
    <row r="505" spans="6:41">
      <c r="F505" s="31"/>
      <c r="M505" s="31"/>
      <c r="U505" s="31"/>
      <c r="AA505" s="63"/>
      <c r="AC505" s="31"/>
      <c r="AN505" s="32"/>
      <c r="AO505" s="57"/>
    </row>
    <row r="506" spans="6:41">
      <c r="F506" s="31"/>
      <c r="M506" s="31"/>
      <c r="U506" s="31"/>
      <c r="AA506" s="63"/>
      <c r="AC506" s="31"/>
      <c r="AN506" s="32"/>
      <c r="AO506" s="57"/>
    </row>
    <row r="507" spans="6:41">
      <c r="F507" s="31"/>
      <c r="M507" s="31"/>
      <c r="U507" s="31"/>
      <c r="AA507" s="63"/>
      <c r="AC507" s="31"/>
      <c r="AN507" s="32"/>
      <c r="AO507" s="57"/>
    </row>
    <row r="508" spans="6:41">
      <c r="F508" s="31"/>
      <c r="M508" s="31"/>
      <c r="U508" s="31"/>
      <c r="AA508" s="63"/>
      <c r="AC508" s="31"/>
      <c r="AN508" s="32"/>
      <c r="AO508" s="57"/>
    </row>
    <row r="509" spans="6:41">
      <c r="F509" s="31"/>
      <c r="M509" s="31"/>
      <c r="U509" s="31"/>
      <c r="AA509" s="63"/>
      <c r="AC509" s="31"/>
      <c r="AN509" s="32"/>
      <c r="AO509" s="57"/>
    </row>
    <row r="510" spans="6:41">
      <c r="F510" s="31"/>
      <c r="M510" s="31"/>
      <c r="U510" s="31"/>
      <c r="AA510" s="63"/>
      <c r="AC510" s="31"/>
      <c r="AN510" s="32"/>
      <c r="AO510" s="57"/>
    </row>
    <row r="511" spans="6:41">
      <c r="F511" s="31"/>
      <c r="M511" s="31"/>
      <c r="U511" s="31"/>
      <c r="AA511" s="63"/>
      <c r="AC511" s="31"/>
      <c r="AN511" s="32"/>
      <c r="AO511" s="57"/>
    </row>
    <row r="512" spans="6:41">
      <c r="F512" s="31"/>
      <c r="M512" s="31"/>
      <c r="U512" s="31"/>
      <c r="AA512" s="63"/>
      <c r="AC512" s="31"/>
      <c r="AN512" s="32"/>
      <c r="AO512" s="57"/>
    </row>
    <row r="513" spans="6:41">
      <c r="F513" s="31"/>
      <c r="M513" s="31"/>
      <c r="U513" s="31"/>
      <c r="AA513" s="63"/>
      <c r="AC513" s="31"/>
      <c r="AN513" s="32"/>
      <c r="AO513" s="57"/>
    </row>
    <row r="514" spans="6:41">
      <c r="F514" s="31"/>
      <c r="M514" s="31"/>
      <c r="U514" s="31"/>
      <c r="AA514" s="63"/>
      <c r="AC514" s="31"/>
      <c r="AN514" s="32"/>
      <c r="AO514" s="57"/>
    </row>
    <row r="515" spans="6:41">
      <c r="F515" s="31"/>
      <c r="M515" s="31"/>
      <c r="U515" s="31"/>
      <c r="AA515" s="63"/>
      <c r="AC515" s="31"/>
      <c r="AN515" s="32"/>
      <c r="AO515" s="57"/>
    </row>
    <row r="516" spans="6:41">
      <c r="F516" s="31"/>
      <c r="M516" s="31"/>
      <c r="U516" s="31"/>
      <c r="AA516" s="63"/>
      <c r="AC516" s="31"/>
      <c r="AN516" s="32"/>
      <c r="AO516" s="57"/>
    </row>
    <row r="517" spans="6:41">
      <c r="F517" s="31"/>
      <c r="M517" s="31"/>
      <c r="U517" s="31"/>
      <c r="AA517" s="63"/>
      <c r="AC517" s="31"/>
      <c r="AN517" s="32"/>
      <c r="AO517" s="57"/>
    </row>
    <row r="518" spans="6:41">
      <c r="F518" s="31"/>
      <c r="M518" s="31"/>
      <c r="U518" s="31"/>
      <c r="AA518" s="63"/>
      <c r="AC518" s="31"/>
      <c r="AN518" s="32"/>
      <c r="AO518" s="57"/>
    </row>
    <row r="519" spans="6:41">
      <c r="F519" s="31"/>
      <c r="M519" s="31"/>
      <c r="U519" s="31"/>
      <c r="AA519" s="63"/>
      <c r="AC519" s="31"/>
      <c r="AN519" s="32"/>
      <c r="AO519" s="57"/>
    </row>
    <row r="520" spans="6:41">
      <c r="F520" s="31"/>
      <c r="M520" s="31"/>
      <c r="U520" s="31"/>
      <c r="AA520" s="63"/>
      <c r="AC520" s="31"/>
      <c r="AN520" s="32"/>
      <c r="AO520" s="57"/>
    </row>
    <row r="521" spans="6:41">
      <c r="F521" s="31"/>
      <c r="M521" s="31"/>
      <c r="U521" s="31"/>
      <c r="AA521" s="63"/>
      <c r="AC521" s="31"/>
      <c r="AN521" s="32"/>
      <c r="AO521" s="57"/>
    </row>
    <row r="522" spans="6:41">
      <c r="F522" s="31"/>
      <c r="M522" s="31"/>
      <c r="U522" s="31"/>
      <c r="AA522" s="63"/>
      <c r="AC522" s="31"/>
      <c r="AN522" s="32"/>
      <c r="AO522" s="57"/>
    </row>
    <row r="523" spans="6:41">
      <c r="F523" s="31"/>
      <c r="M523" s="31"/>
      <c r="U523" s="31"/>
      <c r="AA523" s="63"/>
      <c r="AC523" s="31"/>
      <c r="AN523" s="32"/>
      <c r="AO523" s="57"/>
    </row>
    <row r="524" spans="6:41">
      <c r="F524" s="31"/>
      <c r="M524" s="31"/>
      <c r="U524" s="31"/>
      <c r="AA524" s="63"/>
      <c r="AC524" s="31"/>
      <c r="AN524" s="32"/>
      <c r="AO524" s="57"/>
    </row>
    <row r="525" spans="6:41">
      <c r="F525" s="31"/>
      <c r="M525" s="31"/>
      <c r="U525" s="31"/>
      <c r="AA525" s="63"/>
      <c r="AC525" s="31"/>
      <c r="AN525" s="32"/>
      <c r="AO525" s="57"/>
    </row>
    <row r="526" spans="6:41">
      <c r="F526" s="31"/>
      <c r="M526" s="31"/>
      <c r="U526" s="31"/>
      <c r="AA526" s="63"/>
      <c r="AC526" s="31"/>
      <c r="AN526" s="32"/>
      <c r="AO526" s="57"/>
    </row>
    <row r="527" spans="6:41">
      <c r="F527" s="31"/>
      <c r="M527" s="31"/>
      <c r="U527" s="31"/>
      <c r="AA527" s="63"/>
      <c r="AC527" s="31"/>
      <c r="AN527" s="32"/>
      <c r="AO527" s="57"/>
    </row>
    <row r="528" spans="6:41">
      <c r="F528" s="31"/>
      <c r="M528" s="31"/>
      <c r="U528" s="31"/>
      <c r="AA528" s="63"/>
      <c r="AC528" s="31"/>
      <c r="AN528" s="32"/>
      <c r="AO528" s="57"/>
    </row>
    <row r="529" spans="6:41">
      <c r="F529" s="31"/>
      <c r="M529" s="31"/>
      <c r="U529" s="31"/>
      <c r="AA529" s="63"/>
      <c r="AC529" s="31"/>
      <c r="AN529" s="32"/>
      <c r="AO529" s="57"/>
    </row>
    <row r="530" spans="6:41">
      <c r="F530" s="31"/>
      <c r="M530" s="31"/>
      <c r="U530" s="31"/>
      <c r="AA530" s="63"/>
      <c r="AC530" s="31"/>
      <c r="AN530" s="32"/>
      <c r="AO530" s="57"/>
    </row>
    <row r="531" spans="6:41">
      <c r="F531" s="31"/>
      <c r="M531" s="31"/>
      <c r="U531" s="31"/>
      <c r="AA531" s="63"/>
      <c r="AC531" s="31"/>
      <c r="AN531" s="32"/>
      <c r="AO531" s="57"/>
    </row>
    <row r="532" spans="6:41">
      <c r="F532" s="31"/>
      <c r="M532" s="31"/>
      <c r="U532" s="31"/>
      <c r="AA532" s="63"/>
      <c r="AC532" s="31"/>
      <c r="AN532" s="32"/>
      <c r="AO532" s="57"/>
    </row>
    <row r="533" spans="6:41">
      <c r="F533" s="31"/>
      <c r="M533" s="31"/>
      <c r="U533" s="31"/>
      <c r="AA533" s="63"/>
      <c r="AC533" s="31"/>
      <c r="AN533" s="32"/>
      <c r="AO533" s="57"/>
    </row>
    <row r="534" spans="6:41">
      <c r="F534" s="31"/>
      <c r="M534" s="31"/>
      <c r="U534" s="31"/>
      <c r="AA534" s="63"/>
      <c r="AC534" s="31"/>
      <c r="AN534" s="32"/>
      <c r="AO534" s="57"/>
    </row>
    <row r="535" spans="6:41">
      <c r="F535" s="31"/>
      <c r="M535" s="31"/>
      <c r="U535" s="31"/>
      <c r="AA535" s="63"/>
      <c r="AC535" s="31"/>
      <c r="AN535" s="32"/>
      <c r="AO535" s="57"/>
    </row>
    <row r="536" spans="6:41">
      <c r="F536" s="31"/>
      <c r="M536" s="31"/>
      <c r="U536" s="31"/>
      <c r="AA536" s="63"/>
      <c r="AC536" s="31"/>
      <c r="AN536" s="32"/>
      <c r="AO536" s="57"/>
    </row>
    <row r="537" spans="6:41">
      <c r="F537" s="31"/>
      <c r="M537" s="31"/>
      <c r="U537" s="31"/>
      <c r="AA537" s="63"/>
      <c r="AC537" s="31"/>
      <c r="AN537" s="32"/>
      <c r="AO537" s="57"/>
    </row>
    <row r="538" spans="6:41">
      <c r="F538" s="31"/>
      <c r="M538" s="31"/>
      <c r="U538" s="31"/>
      <c r="AA538" s="63"/>
      <c r="AC538" s="31"/>
      <c r="AN538" s="32"/>
      <c r="AO538" s="57"/>
    </row>
    <row r="539" spans="6:41">
      <c r="F539" s="31"/>
      <c r="M539" s="31"/>
      <c r="U539" s="31"/>
      <c r="AA539" s="63"/>
      <c r="AC539" s="31"/>
      <c r="AN539" s="32"/>
      <c r="AO539" s="57"/>
    </row>
    <row r="540" spans="6:41">
      <c r="F540" s="31"/>
      <c r="M540" s="31"/>
      <c r="U540" s="31"/>
      <c r="AA540" s="63"/>
      <c r="AC540" s="31"/>
      <c r="AN540" s="32"/>
      <c r="AO540" s="57"/>
    </row>
    <row r="541" spans="6:41">
      <c r="F541" s="31"/>
      <c r="M541" s="31"/>
      <c r="U541" s="31"/>
      <c r="AA541" s="63"/>
      <c r="AC541" s="31"/>
      <c r="AN541" s="32"/>
      <c r="AO541" s="57"/>
    </row>
    <row r="542" spans="6:41">
      <c r="F542" s="31"/>
      <c r="M542" s="31"/>
      <c r="U542" s="31"/>
      <c r="AA542" s="63"/>
      <c r="AC542" s="31"/>
      <c r="AN542" s="32"/>
      <c r="AO542" s="57"/>
    </row>
    <row r="543" spans="6:41">
      <c r="F543" s="31"/>
      <c r="M543" s="31"/>
      <c r="U543" s="31"/>
      <c r="AA543" s="63"/>
      <c r="AC543" s="31"/>
      <c r="AN543" s="32"/>
      <c r="AO543" s="57"/>
    </row>
    <row r="544" spans="6:41">
      <c r="F544" s="31"/>
      <c r="M544" s="31"/>
      <c r="U544" s="31"/>
      <c r="AA544" s="63"/>
      <c r="AC544" s="31"/>
      <c r="AN544" s="32"/>
      <c r="AO544" s="57"/>
    </row>
    <row r="545" spans="6:41">
      <c r="F545" s="31"/>
      <c r="M545" s="31"/>
      <c r="U545" s="31"/>
      <c r="AA545" s="63"/>
      <c r="AC545" s="31"/>
      <c r="AN545" s="32"/>
      <c r="AO545" s="57"/>
    </row>
    <row r="546" spans="6:41">
      <c r="F546" s="31"/>
      <c r="M546" s="31"/>
      <c r="U546" s="31"/>
      <c r="AA546" s="63"/>
      <c r="AC546" s="31"/>
      <c r="AN546" s="32"/>
      <c r="AO546" s="57"/>
    </row>
    <row r="547" spans="6:41">
      <c r="F547" s="31"/>
      <c r="M547" s="31"/>
      <c r="U547" s="31"/>
      <c r="AA547" s="63"/>
      <c r="AC547" s="31"/>
      <c r="AN547" s="32"/>
      <c r="AO547" s="57"/>
    </row>
    <row r="548" spans="6:41">
      <c r="F548" s="31"/>
      <c r="M548" s="31"/>
      <c r="U548" s="31"/>
      <c r="AA548" s="63"/>
      <c r="AC548" s="31"/>
      <c r="AN548" s="32"/>
      <c r="AO548" s="57"/>
    </row>
    <row r="549" spans="6:41">
      <c r="F549" s="31"/>
      <c r="M549" s="31"/>
      <c r="U549" s="31"/>
      <c r="AA549" s="63"/>
      <c r="AC549" s="31"/>
      <c r="AN549" s="32"/>
      <c r="AO549" s="57"/>
    </row>
    <row r="550" spans="6:41">
      <c r="F550" s="31"/>
      <c r="M550" s="31"/>
      <c r="U550" s="31"/>
      <c r="AA550" s="63"/>
      <c r="AC550" s="31"/>
      <c r="AN550" s="32"/>
      <c r="AO550" s="57"/>
    </row>
    <row r="551" spans="6:41">
      <c r="F551" s="31"/>
      <c r="M551" s="31"/>
      <c r="U551" s="31"/>
      <c r="AA551" s="63"/>
      <c r="AC551" s="31"/>
      <c r="AN551" s="32"/>
      <c r="AO551" s="57"/>
    </row>
    <row r="552" spans="6:41">
      <c r="F552" s="31"/>
      <c r="M552" s="31"/>
      <c r="U552" s="31"/>
      <c r="AA552" s="63"/>
      <c r="AC552" s="31"/>
      <c r="AN552" s="32"/>
      <c r="AO552" s="57"/>
    </row>
    <row r="553" spans="6:41">
      <c r="F553" s="31"/>
      <c r="M553" s="31"/>
      <c r="U553" s="31"/>
      <c r="AA553" s="63"/>
      <c r="AC553" s="31"/>
      <c r="AN553" s="32"/>
      <c r="AO553" s="57"/>
    </row>
    <row r="554" spans="6:41">
      <c r="F554" s="31"/>
      <c r="M554" s="31"/>
      <c r="U554" s="31"/>
      <c r="AA554" s="63"/>
      <c r="AC554" s="31"/>
      <c r="AN554" s="32"/>
      <c r="AO554" s="57"/>
    </row>
    <row r="555" spans="6:41">
      <c r="F555" s="31"/>
      <c r="M555" s="31"/>
      <c r="U555" s="31"/>
      <c r="AA555" s="63"/>
      <c r="AC555" s="31"/>
      <c r="AN555" s="32"/>
      <c r="AO555" s="57"/>
    </row>
    <row r="556" spans="6:41">
      <c r="F556" s="31"/>
      <c r="M556" s="31"/>
      <c r="U556" s="31"/>
      <c r="AA556" s="63"/>
      <c r="AC556" s="31"/>
      <c r="AN556" s="32"/>
      <c r="AO556" s="57"/>
    </row>
    <row r="557" spans="6:41">
      <c r="F557" s="31"/>
      <c r="M557" s="31"/>
      <c r="U557" s="31"/>
      <c r="AA557" s="63"/>
      <c r="AC557" s="31"/>
      <c r="AN557" s="32"/>
      <c r="AO557" s="57"/>
    </row>
    <row r="558" spans="6:41">
      <c r="F558" s="31"/>
      <c r="M558" s="31"/>
      <c r="U558" s="31"/>
      <c r="AA558" s="63"/>
      <c r="AC558" s="31"/>
      <c r="AN558" s="32"/>
      <c r="AO558" s="57"/>
    </row>
    <row r="559" spans="6:41">
      <c r="F559" s="31"/>
      <c r="M559" s="31"/>
      <c r="U559" s="31"/>
      <c r="AA559" s="63"/>
      <c r="AC559" s="31"/>
      <c r="AN559" s="32"/>
      <c r="AO559" s="57"/>
    </row>
    <row r="560" spans="6:41">
      <c r="F560" s="31"/>
      <c r="M560" s="31"/>
      <c r="U560" s="31"/>
      <c r="AA560" s="63"/>
      <c r="AC560" s="31"/>
      <c r="AN560" s="32"/>
      <c r="AO560" s="57"/>
    </row>
    <row r="561" spans="6:41">
      <c r="F561" s="31"/>
      <c r="M561" s="31"/>
      <c r="U561" s="31"/>
      <c r="AA561" s="63"/>
      <c r="AC561" s="31"/>
      <c r="AN561" s="32"/>
      <c r="AO561" s="57"/>
    </row>
    <row r="562" spans="6:41">
      <c r="F562" s="31"/>
      <c r="M562" s="31"/>
      <c r="U562" s="31"/>
      <c r="AA562" s="63"/>
      <c r="AC562" s="31"/>
      <c r="AN562" s="32"/>
      <c r="AO562" s="57"/>
    </row>
    <row r="563" spans="6:41">
      <c r="F563" s="31"/>
      <c r="M563" s="31"/>
      <c r="U563" s="31"/>
      <c r="AA563" s="63"/>
      <c r="AC563" s="31"/>
      <c r="AN563" s="32"/>
      <c r="AO563" s="57"/>
    </row>
    <row r="564" spans="6:41">
      <c r="F564" s="31"/>
      <c r="M564" s="31"/>
      <c r="U564" s="31"/>
      <c r="AA564" s="63"/>
      <c r="AC564" s="31"/>
      <c r="AN564" s="32"/>
      <c r="AO564" s="57"/>
    </row>
    <row r="565" spans="6:41">
      <c r="F565" s="31"/>
      <c r="M565" s="31"/>
      <c r="U565" s="31"/>
      <c r="AA565" s="63"/>
      <c r="AC565" s="31"/>
      <c r="AN565" s="32"/>
      <c r="AO565" s="57"/>
    </row>
    <row r="566" spans="6:41">
      <c r="F566" s="31"/>
      <c r="M566" s="31"/>
      <c r="U566" s="31"/>
      <c r="AA566" s="63"/>
      <c r="AC566" s="31"/>
      <c r="AN566" s="32"/>
      <c r="AO566" s="57"/>
    </row>
    <row r="567" spans="6:41">
      <c r="F567" s="31"/>
      <c r="M567" s="31"/>
      <c r="U567" s="31"/>
      <c r="AA567" s="63"/>
      <c r="AC567" s="31"/>
      <c r="AN567" s="32"/>
      <c r="AO567" s="57"/>
    </row>
    <row r="568" spans="6:41">
      <c r="F568" s="31"/>
      <c r="M568" s="31"/>
      <c r="U568" s="31"/>
      <c r="AA568" s="63"/>
      <c r="AC568" s="31"/>
      <c r="AN568" s="32"/>
      <c r="AO568" s="57"/>
    </row>
    <row r="569" spans="6:41">
      <c r="F569" s="31"/>
      <c r="M569" s="31"/>
      <c r="U569" s="31"/>
      <c r="AA569" s="63"/>
      <c r="AC569" s="31"/>
      <c r="AN569" s="32"/>
      <c r="AO569" s="57"/>
    </row>
    <row r="570" spans="6:41">
      <c r="F570" s="31"/>
      <c r="M570" s="31"/>
      <c r="U570" s="31"/>
      <c r="AA570" s="63"/>
      <c r="AC570" s="31"/>
      <c r="AN570" s="32"/>
      <c r="AO570" s="57"/>
    </row>
    <row r="571" spans="6:41">
      <c r="F571" s="31"/>
      <c r="M571" s="31"/>
      <c r="U571" s="31"/>
      <c r="AA571" s="63"/>
      <c r="AC571" s="31"/>
      <c r="AN571" s="32"/>
      <c r="AO571" s="57"/>
    </row>
    <row r="572" spans="6:41">
      <c r="F572" s="31"/>
      <c r="M572" s="31"/>
      <c r="U572" s="31"/>
      <c r="AA572" s="63"/>
      <c r="AC572" s="31"/>
      <c r="AN572" s="32"/>
      <c r="AO572" s="57"/>
    </row>
    <row r="573" spans="6:41">
      <c r="F573" s="31"/>
      <c r="M573" s="31"/>
      <c r="U573" s="31"/>
      <c r="AA573" s="63"/>
      <c r="AC573" s="31"/>
      <c r="AN573" s="32"/>
      <c r="AO573" s="57"/>
    </row>
    <row r="574" spans="6:41">
      <c r="F574" s="31"/>
      <c r="M574" s="31"/>
      <c r="U574" s="31"/>
      <c r="AA574" s="63"/>
      <c r="AC574" s="31"/>
      <c r="AN574" s="32"/>
      <c r="AO574" s="57"/>
    </row>
    <row r="575" spans="6:41">
      <c r="F575" s="31"/>
      <c r="M575" s="31"/>
      <c r="U575" s="31"/>
      <c r="AA575" s="63"/>
      <c r="AC575" s="31"/>
      <c r="AN575" s="32"/>
      <c r="AO575" s="57"/>
    </row>
    <row r="576" spans="6:41">
      <c r="F576" s="31"/>
      <c r="M576" s="31"/>
      <c r="U576" s="31"/>
      <c r="AA576" s="63"/>
      <c r="AC576" s="31"/>
      <c r="AN576" s="32"/>
      <c r="AO576" s="57"/>
    </row>
    <row r="577" spans="6:41">
      <c r="F577" s="31"/>
      <c r="M577" s="31"/>
      <c r="U577" s="31"/>
      <c r="AA577" s="63"/>
      <c r="AC577" s="31"/>
      <c r="AN577" s="32"/>
      <c r="AO577" s="57"/>
    </row>
    <row r="578" spans="6:41">
      <c r="F578" s="31"/>
      <c r="M578" s="31"/>
      <c r="U578" s="31"/>
      <c r="AA578" s="63"/>
      <c r="AC578" s="31"/>
      <c r="AN578" s="32"/>
      <c r="AO578" s="57"/>
    </row>
    <row r="579" spans="6:41">
      <c r="F579" s="31"/>
      <c r="M579" s="31"/>
      <c r="U579" s="31"/>
      <c r="AA579" s="63"/>
      <c r="AC579" s="31"/>
      <c r="AN579" s="32"/>
      <c r="AO579" s="57"/>
    </row>
    <row r="580" spans="6:41">
      <c r="F580" s="31"/>
      <c r="M580" s="31"/>
      <c r="U580" s="31"/>
      <c r="AA580" s="63"/>
      <c r="AC580" s="31"/>
      <c r="AN580" s="32"/>
      <c r="AO580" s="57"/>
    </row>
    <row r="581" spans="6:41">
      <c r="F581" s="31"/>
      <c r="M581" s="31"/>
      <c r="U581" s="31"/>
      <c r="AA581" s="63"/>
      <c r="AC581" s="31"/>
      <c r="AN581" s="32"/>
      <c r="AO581" s="57"/>
    </row>
    <row r="582" spans="6:41">
      <c r="F582" s="31"/>
      <c r="M582" s="31"/>
      <c r="U582" s="31"/>
      <c r="AA582" s="63"/>
      <c r="AC582" s="31"/>
      <c r="AN582" s="32"/>
      <c r="AO582" s="57"/>
    </row>
    <row r="583" spans="6:41">
      <c r="F583" s="31"/>
      <c r="M583" s="31"/>
      <c r="U583" s="31"/>
      <c r="AA583" s="63"/>
      <c r="AC583" s="31"/>
      <c r="AN583" s="32"/>
      <c r="AO583" s="57"/>
    </row>
    <row r="584" spans="6:41">
      <c r="F584" s="31"/>
      <c r="M584" s="31"/>
      <c r="U584" s="31"/>
      <c r="AA584" s="63"/>
      <c r="AC584" s="31"/>
      <c r="AN584" s="32"/>
      <c r="AO584" s="57"/>
    </row>
    <row r="585" spans="6:41">
      <c r="F585" s="31"/>
      <c r="M585" s="31"/>
      <c r="U585" s="31"/>
      <c r="AA585" s="63"/>
      <c r="AC585" s="31"/>
      <c r="AN585" s="32"/>
      <c r="AO585" s="57"/>
    </row>
    <row r="586" spans="6:41">
      <c r="F586" s="31"/>
      <c r="M586" s="31"/>
      <c r="U586" s="31"/>
      <c r="AA586" s="63"/>
      <c r="AC586" s="31"/>
      <c r="AN586" s="32"/>
      <c r="AO586" s="57"/>
    </row>
    <row r="587" spans="6:41">
      <c r="F587" s="31"/>
      <c r="M587" s="31"/>
      <c r="U587" s="31"/>
      <c r="AA587" s="63"/>
      <c r="AC587" s="31"/>
      <c r="AN587" s="32"/>
      <c r="AO587" s="57"/>
    </row>
    <row r="588" spans="6:41">
      <c r="F588" s="31"/>
      <c r="M588" s="31"/>
      <c r="U588" s="31"/>
      <c r="AA588" s="63"/>
      <c r="AC588" s="31"/>
      <c r="AN588" s="32"/>
      <c r="AO588" s="57"/>
    </row>
    <row r="589" spans="6:41">
      <c r="F589" s="31"/>
      <c r="M589" s="31"/>
      <c r="U589" s="31"/>
      <c r="AA589" s="63"/>
      <c r="AC589" s="31"/>
      <c r="AN589" s="32"/>
      <c r="AO589" s="57"/>
    </row>
    <row r="590" spans="6:41">
      <c r="F590" s="31"/>
      <c r="M590" s="31"/>
      <c r="U590" s="31"/>
      <c r="AA590" s="63"/>
      <c r="AC590" s="31"/>
      <c r="AN590" s="32"/>
      <c r="AO590" s="57"/>
    </row>
    <row r="591" spans="6:41">
      <c r="F591" s="31"/>
      <c r="M591" s="31"/>
      <c r="U591" s="31"/>
      <c r="AA591" s="63"/>
      <c r="AC591" s="31"/>
      <c r="AN591" s="32"/>
      <c r="AO591" s="57"/>
    </row>
    <row r="592" spans="6:41">
      <c r="F592" s="31"/>
      <c r="M592" s="31"/>
      <c r="U592" s="31"/>
      <c r="AA592" s="63"/>
      <c r="AC592" s="31"/>
      <c r="AN592" s="32"/>
      <c r="AO592" s="57"/>
    </row>
    <row r="593" spans="6:41">
      <c r="F593" s="31"/>
      <c r="M593" s="31"/>
      <c r="U593" s="31"/>
      <c r="AA593" s="63"/>
      <c r="AC593" s="31"/>
      <c r="AN593" s="32"/>
      <c r="AO593" s="57"/>
    </row>
    <row r="594" spans="6:41">
      <c r="F594" s="31"/>
      <c r="M594" s="31"/>
      <c r="U594" s="31"/>
      <c r="AA594" s="63"/>
      <c r="AC594" s="31"/>
      <c r="AN594" s="32"/>
      <c r="AO594" s="57"/>
    </row>
    <row r="595" spans="6:41">
      <c r="F595" s="31"/>
      <c r="M595" s="31"/>
      <c r="U595" s="31"/>
      <c r="AA595" s="63"/>
      <c r="AC595" s="31"/>
      <c r="AN595" s="32"/>
      <c r="AO595" s="57"/>
    </row>
    <row r="596" spans="6:41">
      <c r="F596" s="31"/>
      <c r="M596" s="31"/>
      <c r="U596" s="31"/>
      <c r="AA596" s="63"/>
      <c r="AC596" s="31"/>
      <c r="AN596" s="32"/>
      <c r="AO596" s="57"/>
    </row>
    <row r="597" spans="6:41">
      <c r="F597" s="31"/>
      <c r="M597" s="31"/>
      <c r="U597" s="31"/>
      <c r="AA597" s="63"/>
      <c r="AC597" s="31"/>
      <c r="AN597" s="32"/>
      <c r="AO597" s="57"/>
    </row>
    <row r="598" spans="6:41">
      <c r="F598" s="31"/>
      <c r="M598" s="31"/>
      <c r="U598" s="31"/>
      <c r="AA598" s="63"/>
      <c r="AC598" s="31"/>
      <c r="AN598" s="32"/>
      <c r="AO598" s="57"/>
    </row>
    <row r="599" spans="6:41">
      <c r="F599" s="31"/>
      <c r="M599" s="31"/>
      <c r="U599" s="31"/>
      <c r="AA599" s="63"/>
      <c r="AC599" s="31"/>
      <c r="AN599" s="32"/>
      <c r="AO599" s="57"/>
    </row>
    <row r="600" spans="6:41">
      <c r="F600" s="31"/>
      <c r="M600" s="31"/>
      <c r="U600" s="31"/>
      <c r="AA600" s="63"/>
      <c r="AC600" s="31"/>
      <c r="AN600" s="32"/>
      <c r="AO600" s="57"/>
    </row>
    <row r="601" spans="6:41">
      <c r="F601" s="31"/>
      <c r="M601" s="31"/>
      <c r="U601" s="31"/>
      <c r="AA601" s="63"/>
      <c r="AC601" s="31"/>
      <c r="AN601" s="32"/>
      <c r="AO601" s="57"/>
    </row>
    <row r="602" spans="6:41">
      <c r="F602" s="31"/>
      <c r="M602" s="31"/>
      <c r="U602" s="31"/>
      <c r="AA602" s="63"/>
      <c r="AC602" s="31"/>
      <c r="AN602" s="32"/>
      <c r="AO602" s="57"/>
    </row>
    <row r="603" spans="6:41">
      <c r="F603" s="31"/>
      <c r="M603" s="31"/>
      <c r="U603" s="31"/>
      <c r="AA603" s="63"/>
      <c r="AC603" s="31"/>
      <c r="AN603" s="32"/>
      <c r="AO603" s="57"/>
    </row>
    <row r="604" spans="6:41">
      <c r="F604" s="31"/>
      <c r="M604" s="31"/>
      <c r="U604" s="31"/>
      <c r="AA604" s="63"/>
      <c r="AC604" s="31"/>
      <c r="AN604" s="32"/>
      <c r="AO604" s="57"/>
    </row>
    <row r="605" spans="6:41">
      <c r="F605" s="31"/>
      <c r="M605" s="31"/>
      <c r="U605" s="31"/>
      <c r="AA605" s="63"/>
      <c r="AC605" s="31"/>
      <c r="AN605" s="32"/>
      <c r="AO605" s="57"/>
    </row>
    <row r="606" spans="6:41">
      <c r="F606" s="31"/>
      <c r="M606" s="31"/>
      <c r="U606" s="31"/>
      <c r="AA606" s="63"/>
      <c r="AC606" s="31"/>
      <c r="AN606" s="32"/>
      <c r="AO606" s="57"/>
    </row>
    <row r="607" spans="6:41">
      <c r="F607" s="31"/>
      <c r="M607" s="31"/>
      <c r="U607" s="31"/>
      <c r="AA607" s="63"/>
      <c r="AC607" s="31"/>
      <c r="AN607" s="32"/>
      <c r="AO607" s="57"/>
    </row>
    <row r="608" spans="6:41">
      <c r="F608" s="31"/>
      <c r="M608" s="31"/>
      <c r="U608" s="31"/>
      <c r="AA608" s="63"/>
      <c r="AC608" s="31"/>
      <c r="AN608" s="32"/>
      <c r="AO608" s="57"/>
    </row>
    <row r="609" spans="6:41">
      <c r="F609" s="31"/>
      <c r="M609" s="31"/>
      <c r="U609" s="31"/>
      <c r="AA609" s="63"/>
      <c r="AC609" s="31"/>
      <c r="AN609" s="32"/>
      <c r="AO609" s="57"/>
    </row>
    <row r="610" spans="6:41">
      <c r="F610" s="31"/>
      <c r="M610" s="31"/>
      <c r="U610" s="31"/>
      <c r="AA610" s="63"/>
      <c r="AC610" s="31"/>
      <c r="AN610" s="32"/>
      <c r="AO610" s="57"/>
    </row>
    <row r="611" spans="6:41">
      <c r="F611" s="31"/>
      <c r="M611" s="31"/>
      <c r="U611" s="31"/>
      <c r="AA611" s="63"/>
      <c r="AC611" s="31"/>
      <c r="AN611" s="32"/>
      <c r="AO611" s="57"/>
    </row>
    <row r="612" spans="6:41">
      <c r="F612" s="31"/>
      <c r="M612" s="31"/>
      <c r="U612" s="31"/>
      <c r="AA612" s="63"/>
      <c r="AC612" s="31"/>
      <c r="AN612" s="32"/>
      <c r="AO612" s="57"/>
    </row>
    <row r="613" spans="6:41">
      <c r="F613" s="31"/>
      <c r="M613" s="31"/>
      <c r="U613" s="31"/>
      <c r="AA613" s="63"/>
      <c r="AC613" s="31"/>
      <c r="AN613" s="32"/>
      <c r="AO613" s="57"/>
    </row>
    <row r="614" spans="6:41">
      <c r="F614" s="31"/>
      <c r="M614" s="31"/>
      <c r="U614" s="31"/>
      <c r="AA614" s="63"/>
      <c r="AC614" s="31"/>
      <c r="AN614" s="32"/>
      <c r="AO614" s="57"/>
    </row>
    <row r="615" spans="6:41">
      <c r="F615" s="31"/>
      <c r="M615" s="31"/>
      <c r="U615" s="31"/>
      <c r="AA615" s="63"/>
      <c r="AC615" s="31"/>
      <c r="AN615" s="32"/>
      <c r="AO615" s="57"/>
    </row>
    <row r="616" spans="6:41">
      <c r="F616" s="31"/>
      <c r="M616" s="31"/>
      <c r="U616" s="31"/>
      <c r="AA616" s="63"/>
      <c r="AC616" s="31"/>
      <c r="AN616" s="32"/>
      <c r="AO616" s="57"/>
    </row>
    <row r="617" spans="6:41">
      <c r="F617" s="31"/>
      <c r="M617" s="31"/>
      <c r="U617" s="31"/>
      <c r="AA617" s="63"/>
      <c r="AC617" s="31"/>
      <c r="AN617" s="32"/>
      <c r="AO617" s="57"/>
    </row>
    <row r="618" spans="6:41">
      <c r="F618" s="31"/>
      <c r="M618" s="31"/>
      <c r="U618" s="31"/>
      <c r="AA618" s="63"/>
      <c r="AC618" s="31"/>
      <c r="AN618" s="32"/>
      <c r="AO618" s="57"/>
    </row>
    <row r="619" spans="6:41">
      <c r="F619" s="31"/>
      <c r="M619" s="31"/>
      <c r="U619" s="31"/>
      <c r="AA619" s="63"/>
      <c r="AC619" s="31"/>
      <c r="AN619" s="32"/>
      <c r="AO619" s="57"/>
    </row>
    <row r="620" spans="6:41">
      <c r="F620" s="31"/>
      <c r="M620" s="31"/>
      <c r="U620" s="31"/>
      <c r="AA620" s="63"/>
      <c r="AC620" s="31"/>
      <c r="AN620" s="32"/>
      <c r="AO620" s="57"/>
    </row>
    <row r="621" spans="6:41">
      <c r="F621" s="31"/>
      <c r="M621" s="31"/>
      <c r="U621" s="31"/>
      <c r="AA621" s="63"/>
      <c r="AC621" s="31"/>
      <c r="AN621" s="32"/>
      <c r="AO621" s="57"/>
    </row>
    <row r="622" spans="6:41">
      <c r="F622" s="31"/>
      <c r="M622" s="31"/>
      <c r="U622" s="31"/>
      <c r="AA622" s="63"/>
      <c r="AC622" s="31"/>
      <c r="AN622" s="32"/>
      <c r="AO622" s="57"/>
    </row>
    <row r="623" spans="6:41">
      <c r="F623" s="31"/>
      <c r="M623" s="31"/>
      <c r="U623" s="31"/>
      <c r="AA623" s="63"/>
      <c r="AC623" s="31"/>
      <c r="AN623" s="32"/>
      <c r="AO623" s="57"/>
    </row>
    <row r="624" spans="6:41">
      <c r="F624" s="31"/>
      <c r="M624" s="31"/>
      <c r="U624" s="31"/>
      <c r="AA624" s="63"/>
      <c r="AC624" s="31"/>
      <c r="AN624" s="32"/>
      <c r="AO624" s="57"/>
    </row>
    <row r="625" spans="6:41">
      <c r="F625" s="31"/>
      <c r="M625" s="31"/>
      <c r="U625" s="31"/>
      <c r="AA625" s="63"/>
      <c r="AC625" s="31"/>
      <c r="AN625" s="32"/>
      <c r="AO625" s="57"/>
    </row>
    <row r="626" spans="6:41">
      <c r="F626" s="31"/>
      <c r="M626" s="31"/>
      <c r="U626" s="31"/>
      <c r="AA626" s="63"/>
      <c r="AC626" s="31"/>
      <c r="AN626" s="32"/>
      <c r="AO626" s="57"/>
    </row>
    <row r="627" spans="6:41">
      <c r="F627" s="31"/>
      <c r="M627" s="31"/>
      <c r="U627" s="31"/>
      <c r="AA627" s="63"/>
      <c r="AC627" s="31"/>
      <c r="AN627" s="32"/>
      <c r="AO627" s="57"/>
    </row>
    <row r="628" spans="6:41">
      <c r="F628" s="31"/>
      <c r="M628" s="31"/>
      <c r="U628" s="31"/>
      <c r="AA628" s="63"/>
      <c r="AC628" s="31"/>
      <c r="AN628" s="32"/>
      <c r="AO628" s="57"/>
    </row>
    <row r="629" spans="6:41">
      <c r="F629" s="31"/>
      <c r="M629" s="31"/>
      <c r="U629" s="31"/>
      <c r="AA629" s="63"/>
      <c r="AC629" s="31"/>
      <c r="AN629" s="32"/>
      <c r="AO629" s="57"/>
    </row>
    <row r="630" spans="6:41">
      <c r="F630" s="31"/>
      <c r="M630" s="31"/>
      <c r="U630" s="31"/>
      <c r="AA630" s="63"/>
      <c r="AC630" s="31"/>
      <c r="AN630" s="32"/>
      <c r="AO630" s="57"/>
    </row>
    <row r="631" spans="6:41">
      <c r="F631" s="31"/>
      <c r="M631" s="31"/>
      <c r="U631" s="31"/>
      <c r="AA631" s="63"/>
      <c r="AC631" s="31"/>
      <c r="AN631" s="32"/>
      <c r="AO631" s="57"/>
    </row>
    <row r="632" spans="6:41">
      <c r="F632" s="31"/>
      <c r="M632" s="31"/>
      <c r="U632" s="31"/>
      <c r="AA632" s="63"/>
      <c r="AC632" s="31"/>
      <c r="AN632" s="32"/>
      <c r="AO632" s="57"/>
    </row>
    <row r="633" spans="6:41">
      <c r="F633" s="31"/>
      <c r="M633" s="31"/>
      <c r="U633" s="31"/>
      <c r="AA633" s="63"/>
      <c r="AC633" s="31"/>
      <c r="AN633" s="32"/>
      <c r="AO633" s="57"/>
    </row>
    <row r="634" spans="6:41">
      <c r="F634" s="31"/>
      <c r="M634" s="31"/>
      <c r="U634" s="31"/>
      <c r="AA634" s="63"/>
      <c r="AC634" s="31"/>
      <c r="AN634" s="32"/>
      <c r="AO634" s="57"/>
    </row>
    <row r="635" spans="6:41">
      <c r="F635" s="31"/>
      <c r="M635" s="31"/>
      <c r="U635" s="31"/>
      <c r="AA635" s="63"/>
      <c r="AC635" s="31"/>
      <c r="AN635" s="32"/>
      <c r="AO635" s="57"/>
    </row>
    <row r="636" spans="6:41">
      <c r="F636" s="31"/>
      <c r="M636" s="31"/>
      <c r="U636" s="31"/>
      <c r="AA636" s="63"/>
      <c r="AC636" s="31"/>
      <c r="AN636" s="32"/>
      <c r="AO636" s="57"/>
    </row>
    <row r="637" spans="6:41">
      <c r="F637" s="31"/>
      <c r="M637" s="31"/>
      <c r="U637" s="31"/>
      <c r="AA637" s="63"/>
      <c r="AC637" s="31"/>
      <c r="AN637" s="32"/>
      <c r="AO637" s="57"/>
    </row>
    <row r="638" spans="6:41">
      <c r="F638" s="31"/>
      <c r="M638" s="31"/>
      <c r="U638" s="31"/>
      <c r="AA638" s="63"/>
      <c r="AC638" s="31"/>
      <c r="AN638" s="32"/>
      <c r="AO638" s="57"/>
    </row>
    <row r="639" spans="6:41">
      <c r="F639" s="31"/>
      <c r="M639" s="31"/>
      <c r="U639" s="31"/>
      <c r="AA639" s="63"/>
      <c r="AC639" s="31"/>
      <c r="AN639" s="32"/>
      <c r="AO639" s="57"/>
    </row>
    <row r="640" spans="6:41">
      <c r="F640" s="31"/>
      <c r="M640" s="31"/>
      <c r="U640" s="31"/>
      <c r="AA640" s="63"/>
      <c r="AC640" s="31"/>
      <c r="AN640" s="32"/>
      <c r="AO640" s="57"/>
    </row>
    <row r="641" spans="6:41">
      <c r="F641" s="31"/>
      <c r="M641" s="31"/>
      <c r="U641" s="31"/>
      <c r="AA641" s="63"/>
      <c r="AC641" s="31"/>
      <c r="AN641" s="32"/>
      <c r="AO641" s="57"/>
    </row>
    <row r="642" spans="6:41">
      <c r="F642" s="31"/>
      <c r="M642" s="31"/>
      <c r="U642" s="31"/>
      <c r="AA642" s="63"/>
      <c r="AC642" s="31"/>
      <c r="AN642" s="32"/>
      <c r="AO642" s="57"/>
    </row>
    <row r="643" spans="6:41">
      <c r="F643" s="31"/>
      <c r="M643" s="31"/>
      <c r="U643" s="31"/>
      <c r="AA643" s="63"/>
      <c r="AC643" s="31"/>
      <c r="AN643" s="32"/>
      <c r="AO643" s="57"/>
    </row>
    <row r="644" spans="6:41">
      <c r="F644" s="31"/>
      <c r="M644" s="31"/>
      <c r="U644" s="31"/>
      <c r="AA644" s="63"/>
      <c r="AC644" s="31"/>
      <c r="AN644" s="32"/>
      <c r="AO644" s="57"/>
    </row>
    <row r="645" spans="6:41">
      <c r="F645" s="31"/>
      <c r="M645" s="31"/>
      <c r="U645" s="31"/>
      <c r="AA645" s="63"/>
      <c r="AC645" s="31"/>
      <c r="AN645" s="32"/>
      <c r="AO645" s="57"/>
    </row>
    <row r="646" spans="6:41">
      <c r="F646" s="31"/>
      <c r="M646" s="31"/>
      <c r="U646" s="31"/>
      <c r="AA646" s="63"/>
      <c r="AC646" s="31"/>
      <c r="AN646" s="32"/>
      <c r="AO646" s="57"/>
    </row>
    <row r="647" spans="6:41">
      <c r="F647" s="31"/>
      <c r="M647" s="31"/>
      <c r="U647" s="31"/>
      <c r="AA647" s="63"/>
      <c r="AC647" s="31"/>
      <c r="AN647" s="32"/>
      <c r="AO647" s="57"/>
    </row>
    <row r="648" spans="6:41">
      <c r="F648" s="31"/>
      <c r="M648" s="31"/>
      <c r="U648" s="31"/>
      <c r="AA648" s="63"/>
      <c r="AC648" s="31"/>
      <c r="AN648" s="32"/>
      <c r="AO648" s="57"/>
    </row>
    <row r="649" spans="6:41">
      <c r="F649" s="31"/>
      <c r="M649" s="31"/>
      <c r="U649" s="31"/>
      <c r="AA649" s="63"/>
      <c r="AC649" s="31"/>
      <c r="AN649" s="32"/>
      <c r="AO649" s="57"/>
    </row>
    <row r="650" spans="6:41">
      <c r="F650" s="31"/>
      <c r="M650" s="31"/>
      <c r="U650" s="31"/>
      <c r="AA650" s="63"/>
      <c r="AC650" s="31"/>
      <c r="AN650" s="32"/>
      <c r="AO650" s="57"/>
    </row>
    <row r="651" spans="6:41">
      <c r="F651" s="31"/>
      <c r="M651" s="31"/>
      <c r="U651" s="31"/>
      <c r="AA651" s="63"/>
      <c r="AC651" s="31"/>
      <c r="AN651" s="32"/>
      <c r="AO651" s="57"/>
    </row>
    <row r="652" spans="6:41">
      <c r="F652" s="31"/>
      <c r="M652" s="31"/>
      <c r="U652" s="31"/>
      <c r="AA652" s="63"/>
      <c r="AC652" s="31"/>
      <c r="AN652" s="32"/>
      <c r="AO652" s="57"/>
    </row>
    <row r="653" spans="6:41">
      <c r="F653" s="31"/>
      <c r="M653" s="31"/>
      <c r="U653" s="31"/>
      <c r="AA653" s="63"/>
      <c r="AC653" s="31"/>
      <c r="AN653" s="32"/>
      <c r="AO653" s="57"/>
    </row>
    <row r="654" spans="6:41">
      <c r="F654" s="31"/>
      <c r="M654" s="31"/>
      <c r="U654" s="31"/>
      <c r="AA654" s="63"/>
      <c r="AC654" s="31"/>
      <c r="AN654" s="32"/>
      <c r="AO654" s="57"/>
    </row>
    <row r="655" spans="6:41">
      <c r="F655" s="31"/>
      <c r="M655" s="31"/>
      <c r="U655" s="31"/>
      <c r="AA655" s="63"/>
      <c r="AC655" s="31"/>
      <c r="AN655" s="32"/>
      <c r="AO655" s="57"/>
    </row>
    <row r="656" spans="6:41">
      <c r="F656" s="31"/>
      <c r="M656" s="31"/>
      <c r="U656" s="31"/>
      <c r="AA656" s="63"/>
      <c r="AC656" s="31"/>
      <c r="AN656" s="32"/>
      <c r="AO656" s="57"/>
    </row>
    <row r="657" spans="6:41">
      <c r="F657" s="31"/>
      <c r="M657" s="31"/>
      <c r="U657" s="31"/>
      <c r="AA657" s="63"/>
      <c r="AC657" s="31"/>
      <c r="AN657" s="32"/>
      <c r="AO657" s="57"/>
    </row>
    <row r="658" spans="6:41">
      <c r="F658" s="31"/>
      <c r="M658" s="31"/>
      <c r="U658" s="31"/>
      <c r="AA658" s="63"/>
      <c r="AC658" s="31"/>
      <c r="AN658" s="32"/>
      <c r="AO658" s="57"/>
    </row>
    <row r="659" spans="6:41">
      <c r="F659" s="31"/>
      <c r="M659" s="31"/>
      <c r="U659" s="31"/>
      <c r="AA659" s="63"/>
      <c r="AC659" s="31"/>
      <c r="AN659" s="32"/>
      <c r="AO659" s="57"/>
    </row>
    <row r="660" spans="6:41">
      <c r="F660" s="31"/>
      <c r="M660" s="31"/>
      <c r="U660" s="31"/>
      <c r="AA660" s="63"/>
      <c r="AC660" s="31"/>
      <c r="AN660" s="32"/>
      <c r="AO660" s="57"/>
    </row>
    <row r="661" spans="6:41">
      <c r="F661" s="31"/>
      <c r="M661" s="31"/>
      <c r="U661" s="31"/>
      <c r="AA661" s="63"/>
      <c r="AC661" s="31"/>
      <c r="AN661" s="32"/>
      <c r="AO661" s="57"/>
    </row>
    <row r="662" spans="6:41">
      <c r="F662" s="31"/>
      <c r="M662" s="31"/>
      <c r="U662" s="31"/>
      <c r="AA662" s="63"/>
      <c r="AC662" s="31"/>
      <c r="AN662" s="32"/>
      <c r="AO662" s="57"/>
    </row>
    <row r="663" spans="6:41">
      <c r="F663" s="31"/>
      <c r="M663" s="31"/>
      <c r="U663" s="31"/>
      <c r="AA663" s="63"/>
      <c r="AC663" s="31"/>
      <c r="AN663" s="32"/>
      <c r="AO663" s="57"/>
    </row>
    <row r="664" spans="6:41">
      <c r="F664" s="31"/>
      <c r="M664" s="31"/>
      <c r="U664" s="31"/>
      <c r="AA664" s="63"/>
      <c r="AC664" s="31"/>
      <c r="AN664" s="32"/>
      <c r="AO664" s="57"/>
    </row>
    <row r="665" spans="6:41">
      <c r="F665" s="31"/>
      <c r="M665" s="31"/>
      <c r="U665" s="31"/>
      <c r="AA665" s="63"/>
      <c r="AC665" s="31"/>
      <c r="AN665" s="32"/>
      <c r="AO665" s="57"/>
    </row>
    <row r="666" spans="6:41">
      <c r="F666" s="31"/>
      <c r="M666" s="31"/>
      <c r="U666" s="31"/>
      <c r="AA666" s="63"/>
      <c r="AC666" s="31"/>
      <c r="AN666" s="32"/>
      <c r="AO666" s="57"/>
    </row>
    <row r="667" spans="6:41">
      <c r="F667" s="31"/>
      <c r="M667" s="31"/>
      <c r="U667" s="31"/>
      <c r="AA667" s="63"/>
      <c r="AC667" s="31"/>
      <c r="AN667" s="32"/>
      <c r="AO667" s="57"/>
    </row>
    <row r="668" spans="6:41">
      <c r="F668" s="31"/>
      <c r="M668" s="31"/>
      <c r="U668" s="31"/>
      <c r="AA668" s="63"/>
      <c r="AC668" s="31"/>
      <c r="AN668" s="32"/>
      <c r="AO668" s="57"/>
    </row>
    <row r="669" spans="6:41">
      <c r="F669" s="31"/>
      <c r="M669" s="31"/>
      <c r="U669" s="31"/>
      <c r="AA669" s="63"/>
      <c r="AC669" s="31"/>
      <c r="AN669" s="32"/>
      <c r="AO669" s="57"/>
    </row>
    <row r="670" spans="6:41">
      <c r="F670" s="31"/>
      <c r="M670" s="31"/>
      <c r="U670" s="31"/>
      <c r="AA670" s="63"/>
      <c r="AC670" s="31"/>
      <c r="AN670" s="32"/>
      <c r="AO670" s="57"/>
    </row>
    <row r="671" spans="6:41">
      <c r="F671" s="31"/>
      <c r="M671" s="31"/>
      <c r="U671" s="31"/>
      <c r="AA671" s="63"/>
      <c r="AC671" s="31"/>
      <c r="AN671" s="32"/>
      <c r="AO671" s="57"/>
    </row>
    <row r="672" spans="6:41">
      <c r="F672" s="31"/>
      <c r="M672" s="31"/>
      <c r="U672" s="31"/>
      <c r="AA672" s="63"/>
      <c r="AC672" s="31"/>
      <c r="AN672" s="32"/>
      <c r="AO672" s="57"/>
    </row>
    <row r="673" spans="6:41">
      <c r="F673" s="31"/>
      <c r="M673" s="31"/>
      <c r="U673" s="31"/>
      <c r="AA673" s="63"/>
      <c r="AC673" s="31"/>
      <c r="AN673" s="32"/>
      <c r="AO673" s="57"/>
    </row>
    <row r="674" spans="6:41">
      <c r="F674" s="31"/>
      <c r="M674" s="31"/>
      <c r="U674" s="31"/>
      <c r="AA674" s="63"/>
      <c r="AC674" s="31"/>
      <c r="AN674" s="32"/>
      <c r="AO674" s="57"/>
    </row>
    <row r="675" spans="6:41">
      <c r="F675" s="31"/>
      <c r="M675" s="31"/>
      <c r="U675" s="31"/>
      <c r="AA675" s="63"/>
      <c r="AC675" s="31"/>
      <c r="AN675" s="32"/>
      <c r="AO675" s="57"/>
    </row>
    <row r="676" spans="6:41">
      <c r="F676" s="31"/>
      <c r="M676" s="31"/>
      <c r="U676" s="31"/>
      <c r="AA676" s="63"/>
      <c r="AC676" s="31"/>
      <c r="AN676" s="32"/>
      <c r="AO676" s="57"/>
    </row>
    <row r="677" spans="6:41">
      <c r="F677" s="31"/>
      <c r="M677" s="31"/>
      <c r="U677" s="31"/>
      <c r="AA677" s="63"/>
      <c r="AC677" s="31"/>
      <c r="AN677" s="32"/>
      <c r="AO677" s="57"/>
    </row>
    <row r="678" spans="6:41">
      <c r="F678" s="31"/>
      <c r="M678" s="31"/>
      <c r="U678" s="31"/>
      <c r="AA678" s="63"/>
      <c r="AC678" s="31"/>
      <c r="AN678" s="32"/>
      <c r="AO678" s="57"/>
    </row>
    <row r="679" spans="6:41">
      <c r="F679" s="31"/>
      <c r="M679" s="31"/>
      <c r="U679" s="31"/>
      <c r="AA679" s="63"/>
      <c r="AC679" s="31"/>
      <c r="AN679" s="32"/>
      <c r="AO679" s="57"/>
    </row>
    <row r="680" spans="6:41">
      <c r="F680" s="31"/>
      <c r="M680" s="31"/>
      <c r="U680" s="31"/>
      <c r="AA680" s="63"/>
      <c r="AC680" s="31"/>
      <c r="AN680" s="32"/>
      <c r="AO680" s="57"/>
    </row>
    <row r="681" spans="6:41">
      <c r="F681" s="31"/>
      <c r="M681" s="31"/>
      <c r="U681" s="31"/>
      <c r="AA681" s="63"/>
      <c r="AC681" s="31"/>
      <c r="AN681" s="32"/>
      <c r="AO681" s="57"/>
    </row>
    <row r="682" spans="6:41">
      <c r="F682" s="31"/>
      <c r="M682" s="31"/>
      <c r="U682" s="31"/>
      <c r="AA682" s="63"/>
      <c r="AC682" s="31"/>
      <c r="AN682" s="32"/>
      <c r="AO682" s="57"/>
    </row>
    <row r="683" spans="6:41">
      <c r="F683" s="31"/>
      <c r="M683" s="31"/>
      <c r="U683" s="31"/>
      <c r="AA683" s="63"/>
      <c r="AC683" s="31"/>
      <c r="AN683" s="32"/>
      <c r="AO683" s="57"/>
    </row>
    <row r="684" spans="6:41">
      <c r="F684" s="31"/>
      <c r="M684" s="31"/>
      <c r="U684" s="31"/>
      <c r="AA684" s="63"/>
      <c r="AC684" s="31"/>
      <c r="AN684" s="32"/>
      <c r="AO684" s="57"/>
    </row>
    <row r="685" spans="6:41">
      <c r="F685" s="31"/>
      <c r="M685" s="31"/>
      <c r="U685" s="31"/>
      <c r="AA685" s="63"/>
      <c r="AC685" s="31"/>
      <c r="AN685" s="32"/>
      <c r="AO685" s="57"/>
    </row>
    <row r="686" spans="6:41">
      <c r="F686" s="31"/>
      <c r="M686" s="31"/>
      <c r="U686" s="31"/>
      <c r="AA686" s="63"/>
      <c r="AC686" s="31"/>
      <c r="AN686" s="32"/>
      <c r="AO686" s="57"/>
    </row>
    <row r="687" spans="6:41">
      <c r="F687" s="31"/>
      <c r="M687" s="31"/>
      <c r="U687" s="31"/>
      <c r="AA687" s="63"/>
      <c r="AC687" s="31"/>
      <c r="AN687" s="32"/>
      <c r="AO687" s="57"/>
    </row>
    <row r="688" spans="6:41">
      <c r="F688" s="31"/>
      <c r="M688" s="31"/>
      <c r="U688" s="31"/>
      <c r="AA688" s="63"/>
      <c r="AC688" s="31"/>
      <c r="AN688" s="32"/>
      <c r="AO688" s="57"/>
    </row>
    <row r="689" spans="6:41">
      <c r="F689" s="31"/>
      <c r="M689" s="31"/>
      <c r="U689" s="31"/>
      <c r="AA689" s="63"/>
      <c r="AC689" s="31"/>
      <c r="AN689" s="32"/>
      <c r="AO689" s="57"/>
    </row>
    <row r="690" spans="6:41">
      <c r="F690" s="31"/>
      <c r="M690" s="31"/>
      <c r="U690" s="31"/>
      <c r="AA690" s="63"/>
      <c r="AC690" s="31"/>
      <c r="AN690" s="32"/>
      <c r="AO690" s="57"/>
    </row>
    <row r="691" spans="6:41">
      <c r="F691" s="31"/>
      <c r="M691" s="31"/>
      <c r="U691" s="31"/>
      <c r="AA691" s="63"/>
      <c r="AC691" s="31"/>
      <c r="AN691" s="32"/>
      <c r="AO691" s="57"/>
    </row>
    <row r="692" spans="6:41">
      <c r="F692" s="31"/>
      <c r="M692" s="31"/>
      <c r="U692" s="31"/>
      <c r="AA692" s="63"/>
      <c r="AC692" s="31"/>
      <c r="AN692" s="32"/>
      <c r="AO692" s="57"/>
    </row>
    <row r="693" spans="6:41">
      <c r="F693" s="31"/>
      <c r="M693" s="31"/>
      <c r="U693" s="31"/>
      <c r="AA693" s="63"/>
      <c r="AC693" s="31"/>
      <c r="AN693" s="32"/>
      <c r="AO693" s="57"/>
    </row>
    <row r="694" spans="6:41">
      <c r="F694" s="31"/>
      <c r="M694" s="31"/>
      <c r="U694" s="31"/>
      <c r="AA694" s="63"/>
      <c r="AC694" s="31"/>
      <c r="AN694" s="32"/>
      <c r="AO694" s="57"/>
    </row>
    <row r="695" spans="6:41">
      <c r="F695" s="31"/>
      <c r="M695" s="31"/>
      <c r="U695" s="31"/>
      <c r="AA695" s="63"/>
      <c r="AC695" s="31"/>
      <c r="AN695" s="32"/>
      <c r="AO695" s="57"/>
    </row>
    <row r="696" spans="6:41">
      <c r="F696" s="31"/>
      <c r="M696" s="31"/>
      <c r="U696" s="31"/>
      <c r="AA696" s="63"/>
      <c r="AC696" s="31"/>
      <c r="AN696" s="32"/>
      <c r="AO696" s="57"/>
    </row>
    <row r="697" spans="6:41">
      <c r="F697" s="31"/>
      <c r="M697" s="31"/>
      <c r="U697" s="31"/>
      <c r="AA697" s="63"/>
      <c r="AC697" s="31"/>
      <c r="AN697" s="32"/>
      <c r="AO697" s="57"/>
    </row>
    <row r="698" spans="6:41">
      <c r="F698" s="31"/>
      <c r="M698" s="31"/>
      <c r="U698" s="31"/>
      <c r="AA698" s="63"/>
      <c r="AC698" s="31"/>
      <c r="AN698" s="32"/>
      <c r="AO698" s="57"/>
    </row>
    <row r="699" spans="6:41">
      <c r="F699" s="31"/>
      <c r="M699" s="31"/>
      <c r="U699" s="31"/>
      <c r="AA699" s="63"/>
      <c r="AC699" s="31"/>
      <c r="AN699" s="32"/>
      <c r="AO699" s="57"/>
    </row>
    <row r="700" spans="6:41">
      <c r="F700" s="31"/>
      <c r="M700" s="31"/>
      <c r="U700" s="31"/>
      <c r="AA700" s="63"/>
      <c r="AC700" s="31"/>
      <c r="AN700" s="32"/>
      <c r="AO700" s="57"/>
    </row>
    <row r="701" spans="6:41">
      <c r="F701" s="31"/>
      <c r="M701" s="31"/>
      <c r="U701" s="31"/>
      <c r="AA701" s="63"/>
      <c r="AC701" s="31"/>
      <c r="AN701" s="32"/>
      <c r="AO701" s="57"/>
    </row>
    <row r="702" spans="6:41">
      <c r="F702" s="31"/>
      <c r="M702" s="31"/>
      <c r="U702" s="31"/>
      <c r="AA702" s="63"/>
      <c r="AC702" s="31"/>
      <c r="AN702" s="32"/>
      <c r="AO702" s="57"/>
    </row>
    <row r="703" spans="6:41">
      <c r="F703" s="31"/>
      <c r="M703" s="31"/>
      <c r="U703" s="31"/>
      <c r="AA703" s="63"/>
      <c r="AC703" s="31"/>
      <c r="AN703" s="32"/>
      <c r="AO703" s="57"/>
    </row>
    <row r="704" spans="6:41">
      <c r="F704" s="31"/>
      <c r="M704" s="31"/>
      <c r="U704" s="31"/>
      <c r="AA704" s="63"/>
      <c r="AC704" s="31"/>
      <c r="AN704" s="32"/>
      <c r="AO704" s="57"/>
    </row>
    <row r="705" spans="6:41">
      <c r="F705" s="31"/>
      <c r="M705" s="31"/>
      <c r="U705" s="31"/>
      <c r="AA705" s="63"/>
      <c r="AC705" s="31"/>
      <c r="AN705" s="32"/>
      <c r="AO705" s="57"/>
    </row>
    <row r="706" spans="6:41">
      <c r="F706" s="31"/>
      <c r="M706" s="31"/>
      <c r="U706" s="31"/>
      <c r="AA706" s="63"/>
      <c r="AC706" s="31"/>
      <c r="AN706" s="32"/>
      <c r="AO706" s="57"/>
    </row>
    <row r="707" spans="6:41">
      <c r="F707" s="31"/>
      <c r="M707" s="31"/>
      <c r="U707" s="31"/>
      <c r="AA707" s="63"/>
      <c r="AC707" s="31"/>
      <c r="AN707" s="32"/>
      <c r="AO707" s="57"/>
    </row>
    <row r="708" spans="6:41">
      <c r="F708" s="31"/>
      <c r="M708" s="31"/>
      <c r="U708" s="31"/>
      <c r="AA708" s="63"/>
      <c r="AC708" s="31"/>
      <c r="AN708" s="32"/>
      <c r="AO708" s="57"/>
    </row>
    <row r="709" spans="6:41">
      <c r="F709" s="31"/>
      <c r="M709" s="31"/>
      <c r="U709" s="31"/>
      <c r="AA709" s="63"/>
      <c r="AC709" s="31"/>
      <c r="AN709" s="32"/>
      <c r="AO709" s="57"/>
    </row>
    <row r="710" spans="6:41">
      <c r="F710" s="31"/>
      <c r="M710" s="31"/>
      <c r="U710" s="31"/>
      <c r="AA710" s="63"/>
      <c r="AC710" s="31"/>
      <c r="AN710" s="32"/>
      <c r="AO710" s="57"/>
    </row>
    <row r="711" spans="6:41">
      <c r="F711" s="31"/>
      <c r="M711" s="31"/>
      <c r="U711" s="31"/>
      <c r="AA711" s="63"/>
      <c r="AC711" s="31"/>
      <c r="AN711" s="32"/>
      <c r="AO711" s="57"/>
    </row>
    <row r="712" spans="6:41">
      <c r="F712" s="31"/>
      <c r="M712" s="31"/>
      <c r="U712" s="31"/>
      <c r="AA712" s="63"/>
      <c r="AC712" s="31"/>
      <c r="AN712" s="32"/>
      <c r="AO712" s="57"/>
    </row>
    <row r="713" spans="6:41">
      <c r="F713" s="31"/>
      <c r="M713" s="31"/>
      <c r="U713" s="31"/>
      <c r="AA713" s="63"/>
      <c r="AC713" s="31"/>
      <c r="AN713" s="32"/>
      <c r="AO713" s="57"/>
    </row>
    <row r="714" spans="6:41">
      <c r="F714" s="31"/>
      <c r="M714" s="31"/>
      <c r="U714" s="31"/>
      <c r="AA714" s="63"/>
      <c r="AC714" s="31"/>
      <c r="AN714" s="32"/>
      <c r="AO714" s="57"/>
    </row>
    <row r="715" spans="6:41">
      <c r="F715" s="31"/>
      <c r="M715" s="31"/>
      <c r="U715" s="31"/>
      <c r="AA715" s="63"/>
      <c r="AC715" s="31"/>
      <c r="AN715" s="32"/>
      <c r="AO715" s="57"/>
    </row>
    <row r="716" spans="6:41">
      <c r="F716" s="31"/>
      <c r="M716" s="31"/>
      <c r="U716" s="31"/>
      <c r="AA716" s="63"/>
      <c r="AC716" s="31"/>
      <c r="AN716" s="32"/>
      <c r="AO716" s="57"/>
    </row>
    <row r="717" spans="6:41">
      <c r="F717" s="31"/>
      <c r="M717" s="31"/>
      <c r="U717" s="31"/>
      <c r="AA717" s="63"/>
      <c r="AC717" s="31"/>
      <c r="AN717" s="32"/>
      <c r="AO717" s="57"/>
    </row>
    <row r="718" spans="6:41">
      <c r="F718" s="31"/>
      <c r="M718" s="31"/>
      <c r="U718" s="31"/>
      <c r="AA718" s="63"/>
      <c r="AC718" s="31"/>
      <c r="AN718" s="32"/>
      <c r="AO718" s="57"/>
    </row>
    <row r="719" spans="6:41">
      <c r="F719" s="31"/>
      <c r="M719" s="31"/>
      <c r="U719" s="31"/>
      <c r="AA719" s="63"/>
      <c r="AC719" s="31"/>
      <c r="AN719" s="32"/>
      <c r="AO719" s="57"/>
    </row>
    <row r="720" spans="6:41">
      <c r="F720" s="31"/>
      <c r="M720" s="31"/>
      <c r="U720" s="31"/>
      <c r="AA720" s="63"/>
      <c r="AC720" s="31"/>
      <c r="AN720" s="32"/>
      <c r="AO720" s="57"/>
    </row>
    <row r="721" spans="6:41">
      <c r="F721" s="31"/>
      <c r="M721" s="31"/>
      <c r="U721" s="31"/>
      <c r="AA721" s="63"/>
      <c r="AC721" s="31"/>
      <c r="AN721" s="32"/>
      <c r="AO721" s="57"/>
    </row>
    <row r="722" spans="6:41">
      <c r="F722" s="31"/>
      <c r="M722" s="31"/>
      <c r="U722" s="31"/>
      <c r="AA722" s="63"/>
      <c r="AC722" s="31"/>
      <c r="AN722" s="32"/>
      <c r="AO722" s="57"/>
    </row>
    <row r="723" spans="6:41">
      <c r="F723" s="31"/>
      <c r="M723" s="31"/>
      <c r="U723" s="31"/>
      <c r="AA723" s="63"/>
      <c r="AC723" s="31"/>
      <c r="AN723" s="32"/>
      <c r="AO723" s="57"/>
    </row>
    <row r="724" spans="6:41">
      <c r="F724" s="31"/>
      <c r="M724" s="31"/>
      <c r="U724" s="31"/>
      <c r="AA724" s="63"/>
      <c r="AC724" s="31"/>
      <c r="AN724" s="32"/>
      <c r="AO724" s="57"/>
    </row>
    <row r="725" spans="6:41">
      <c r="F725" s="31"/>
      <c r="M725" s="31"/>
      <c r="U725" s="31"/>
      <c r="AA725" s="63"/>
      <c r="AC725" s="31"/>
      <c r="AN725" s="32"/>
      <c r="AO725" s="57"/>
    </row>
    <row r="726" spans="6:41">
      <c r="F726" s="31"/>
      <c r="M726" s="31"/>
      <c r="U726" s="31"/>
      <c r="AA726" s="63"/>
      <c r="AC726" s="31"/>
      <c r="AN726" s="32"/>
      <c r="AO726" s="57"/>
    </row>
    <row r="727" spans="6:41">
      <c r="F727" s="31"/>
      <c r="M727" s="31"/>
      <c r="U727" s="31"/>
      <c r="AA727" s="63"/>
      <c r="AC727" s="31"/>
      <c r="AN727" s="32"/>
      <c r="AO727" s="57"/>
    </row>
    <row r="728" spans="6:41">
      <c r="F728" s="31"/>
      <c r="M728" s="31"/>
      <c r="U728" s="31"/>
      <c r="AA728" s="63"/>
      <c r="AC728" s="31"/>
      <c r="AN728" s="32"/>
      <c r="AO728" s="57"/>
    </row>
    <row r="729" spans="6:41">
      <c r="F729" s="31"/>
      <c r="M729" s="31"/>
      <c r="U729" s="31"/>
      <c r="AA729" s="63"/>
      <c r="AC729" s="31"/>
      <c r="AN729" s="32"/>
      <c r="AO729" s="57"/>
    </row>
    <row r="730" spans="6:41">
      <c r="F730" s="31"/>
      <c r="M730" s="31"/>
      <c r="U730" s="31"/>
      <c r="AA730" s="63"/>
      <c r="AC730" s="31"/>
      <c r="AN730" s="32"/>
      <c r="AO730" s="57"/>
    </row>
    <row r="731" spans="6:41">
      <c r="F731" s="31"/>
      <c r="M731" s="31"/>
      <c r="U731" s="31"/>
      <c r="AA731" s="63"/>
      <c r="AC731" s="31"/>
      <c r="AN731" s="32"/>
      <c r="AO731" s="57"/>
    </row>
    <row r="732" spans="6:41">
      <c r="F732" s="31"/>
      <c r="M732" s="31"/>
      <c r="U732" s="31"/>
      <c r="AA732" s="63"/>
      <c r="AC732" s="31"/>
      <c r="AN732" s="32"/>
      <c r="AO732" s="57"/>
    </row>
    <row r="733" spans="6:41">
      <c r="F733" s="31"/>
      <c r="M733" s="31"/>
      <c r="U733" s="31"/>
      <c r="AA733" s="63"/>
      <c r="AC733" s="31"/>
      <c r="AN733" s="32"/>
      <c r="AO733" s="57"/>
    </row>
    <row r="734" spans="6:41">
      <c r="F734" s="31"/>
      <c r="M734" s="31"/>
      <c r="U734" s="31"/>
      <c r="AA734" s="63"/>
      <c r="AC734" s="31"/>
      <c r="AN734" s="32"/>
      <c r="AO734" s="57"/>
    </row>
    <row r="735" spans="6:41">
      <c r="F735" s="31"/>
      <c r="M735" s="31"/>
      <c r="U735" s="31"/>
      <c r="AA735" s="63"/>
      <c r="AC735" s="31"/>
      <c r="AN735" s="32"/>
      <c r="AO735" s="57"/>
    </row>
    <row r="736" spans="6:41">
      <c r="F736" s="31"/>
      <c r="M736" s="31"/>
      <c r="U736" s="31"/>
      <c r="AA736" s="63"/>
      <c r="AC736" s="31"/>
      <c r="AN736" s="32"/>
      <c r="AO736" s="57"/>
    </row>
    <row r="737" spans="6:41">
      <c r="F737" s="31"/>
      <c r="M737" s="31"/>
      <c r="U737" s="31"/>
      <c r="AA737" s="63"/>
      <c r="AC737" s="31"/>
      <c r="AN737" s="32"/>
      <c r="AO737" s="57"/>
    </row>
    <row r="738" spans="6:41">
      <c r="F738" s="31"/>
      <c r="M738" s="31"/>
      <c r="U738" s="31"/>
      <c r="AA738" s="63"/>
      <c r="AC738" s="31"/>
      <c r="AN738" s="32"/>
      <c r="AO738" s="57"/>
    </row>
    <row r="739" spans="6:41">
      <c r="F739" s="31"/>
      <c r="M739" s="31"/>
      <c r="U739" s="31"/>
      <c r="AA739" s="63"/>
      <c r="AC739" s="31"/>
      <c r="AN739" s="32"/>
      <c r="AO739" s="57"/>
    </row>
    <row r="740" spans="6:41">
      <c r="F740" s="31"/>
      <c r="M740" s="31"/>
      <c r="U740" s="31"/>
      <c r="AA740" s="63"/>
      <c r="AC740" s="31"/>
      <c r="AN740" s="32"/>
      <c r="AO740" s="57"/>
    </row>
    <row r="741" spans="6:41">
      <c r="F741" s="31"/>
      <c r="M741" s="31"/>
      <c r="U741" s="31"/>
      <c r="AA741" s="63"/>
      <c r="AC741" s="31"/>
      <c r="AN741" s="32"/>
      <c r="AO741" s="57"/>
    </row>
    <row r="742" spans="6:41">
      <c r="F742" s="31"/>
      <c r="M742" s="31"/>
      <c r="U742" s="31"/>
      <c r="AA742" s="63"/>
      <c r="AC742" s="31"/>
      <c r="AN742" s="32"/>
      <c r="AO742" s="57"/>
    </row>
    <row r="743" spans="6:41">
      <c r="F743" s="31"/>
      <c r="M743" s="31"/>
      <c r="U743" s="31"/>
      <c r="AA743" s="63"/>
      <c r="AC743" s="31"/>
      <c r="AN743" s="32"/>
      <c r="AO743" s="57"/>
    </row>
    <row r="744" spans="6:41">
      <c r="F744" s="31"/>
      <c r="M744" s="31"/>
      <c r="U744" s="31"/>
      <c r="AA744" s="63"/>
      <c r="AC744" s="31"/>
      <c r="AN744" s="32"/>
      <c r="AO744" s="57"/>
    </row>
    <row r="745" spans="6:41">
      <c r="F745" s="31"/>
      <c r="M745" s="31"/>
      <c r="U745" s="31"/>
      <c r="AA745" s="63"/>
      <c r="AC745" s="31"/>
      <c r="AN745" s="32"/>
      <c r="AO745" s="57"/>
    </row>
    <row r="746" spans="6:41">
      <c r="F746" s="31"/>
      <c r="M746" s="31"/>
      <c r="U746" s="31"/>
      <c r="AA746" s="63"/>
      <c r="AC746" s="31"/>
      <c r="AN746" s="32"/>
      <c r="AO746" s="57"/>
    </row>
    <row r="747" spans="6:41">
      <c r="F747" s="31"/>
      <c r="M747" s="31"/>
      <c r="U747" s="31"/>
      <c r="AA747" s="63"/>
      <c r="AC747" s="31"/>
      <c r="AN747" s="32"/>
      <c r="AO747" s="57"/>
    </row>
    <row r="748" spans="6:41">
      <c r="F748" s="31"/>
      <c r="M748" s="31"/>
      <c r="U748" s="31"/>
      <c r="AA748" s="63"/>
      <c r="AC748" s="31"/>
      <c r="AN748" s="32"/>
      <c r="AO748" s="57"/>
    </row>
    <row r="749" spans="6:41">
      <c r="F749" s="31"/>
      <c r="M749" s="31"/>
      <c r="U749" s="31"/>
      <c r="AA749" s="63"/>
      <c r="AC749" s="31"/>
      <c r="AN749" s="32"/>
      <c r="AO749" s="57"/>
    </row>
    <row r="750" spans="6:41">
      <c r="F750" s="31"/>
      <c r="M750" s="31"/>
      <c r="U750" s="31"/>
      <c r="AA750" s="63"/>
      <c r="AC750" s="31"/>
      <c r="AN750" s="32"/>
      <c r="AO750" s="57"/>
    </row>
    <row r="751" spans="6:41">
      <c r="F751" s="31"/>
      <c r="M751" s="31"/>
      <c r="U751" s="31"/>
      <c r="AA751" s="63"/>
      <c r="AC751" s="31"/>
      <c r="AN751" s="32"/>
      <c r="AO751" s="57"/>
    </row>
    <row r="752" spans="6:41">
      <c r="F752" s="31"/>
      <c r="M752" s="31"/>
      <c r="U752" s="31"/>
      <c r="AA752" s="63"/>
      <c r="AC752" s="31"/>
      <c r="AN752" s="32"/>
      <c r="AO752" s="57"/>
    </row>
    <row r="753" spans="6:41">
      <c r="F753" s="31"/>
      <c r="M753" s="31"/>
      <c r="U753" s="31"/>
      <c r="AA753" s="63"/>
      <c r="AC753" s="31"/>
      <c r="AN753" s="32"/>
      <c r="AO753" s="57"/>
    </row>
    <row r="754" spans="6:41">
      <c r="F754" s="31"/>
      <c r="M754" s="31"/>
      <c r="U754" s="31"/>
      <c r="AA754" s="63"/>
      <c r="AC754" s="31"/>
      <c r="AN754" s="32"/>
      <c r="AO754" s="57"/>
    </row>
    <row r="755" spans="6:41">
      <c r="F755" s="31"/>
      <c r="M755" s="31"/>
      <c r="U755" s="31"/>
      <c r="AA755" s="63"/>
      <c r="AC755" s="31"/>
      <c r="AN755" s="32"/>
      <c r="AO755" s="57"/>
    </row>
    <row r="756" spans="6:41">
      <c r="F756" s="31"/>
      <c r="M756" s="31"/>
      <c r="U756" s="31"/>
      <c r="AA756" s="63"/>
      <c r="AC756" s="31"/>
      <c r="AN756" s="32"/>
      <c r="AO756" s="57"/>
    </row>
    <row r="757" spans="6:41">
      <c r="F757" s="31"/>
      <c r="M757" s="31"/>
      <c r="U757" s="31"/>
      <c r="AA757" s="63"/>
      <c r="AC757" s="31"/>
      <c r="AN757" s="32"/>
      <c r="AO757" s="57"/>
    </row>
    <row r="758" spans="6:41">
      <c r="F758" s="31"/>
      <c r="M758" s="31"/>
      <c r="U758" s="31"/>
      <c r="AA758" s="63"/>
      <c r="AC758" s="31"/>
      <c r="AN758" s="32"/>
      <c r="AO758" s="57"/>
    </row>
    <row r="759" spans="6:41">
      <c r="F759" s="31"/>
      <c r="M759" s="31"/>
      <c r="U759" s="31"/>
      <c r="AA759" s="63"/>
      <c r="AC759" s="31"/>
      <c r="AN759" s="32"/>
      <c r="AO759" s="57"/>
    </row>
    <row r="760" spans="6:41">
      <c r="F760" s="31"/>
      <c r="M760" s="31"/>
      <c r="U760" s="31"/>
      <c r="AA760" s="63"/>
      <c r="AC760" s="31"/>
      <c r="AN760" s="32"/>
      <c r="AO760" s="57"/>
    </row>
    <row r="761" spans="6:41">
      <c r="F761" s="31"/>
      <c r="M761" s="31"/>
      <c r="U761" s="31"/>
      <c r="AA761" s="63"/>
      <c r="AC761" s="31"/>
      <c r="AN761" s="32"/>
      <c r="AO761" s="57"/>
    </row>
    <row r="762" spans="6:41">
      <c r="F762" s="31"/>
      <c r="M762" s="31"/>
      <c r="U762" s="31"/>
      <c r="AA762" s="63"/>
      <c r="AC762" s="31"/>
      <c r="AN762" s="32"/>
      <c r="AO762" s="57"/>
    </row>
    <row r="763" spans="6:41">
      <c r="F763" s="31"/>
      <c r="M763" s="31"/>
      <c r="U763" s="31"/>
      <c r="AA763" s="63"/>
      <c r="AC763" s="31"/>
      <c r="AN763" s="32"/>
      <c r="AO763" s="57"/>
    </row>
    <row r="764" spans="6:41">
      <c r="F764" s="31"/>
      <c r="M764" s="31"/>
      <c r="U764" s="31"/>
      <c r="AA764" s="63"/>
      <c r="AC764" s="31"/>
      <c r="AN764" s="32"/>
      <c r="AO764" s="57"/>
    </row>
    <row r="765" spans="6:41">
      <c r="F765" s="31"/>
      <c r="M765" s="31"/>
      <c r="U765" s="31"/>
      <c r="AA765" s="63"/>
      <c r="AC765" s="31"/>
      <c r="AN765" s="32"/>
      <c r="AO765" s="57"/>
    </row>
    <row r="766" spans="6:41">
      <c r="F766" s="31"/>
      <c r="M766" s="31"/>
      <c r="U766" s="31"/>
      <c r="AA766" s="63"/>
      <c r="AC766" s="31"/>
      <c r="AN766" s="32"/>
      <c r="AO766" s="57"/>
    </row>
    <row r="767" spans="6:41">
      <c r="F767" s="31"/>
      <c r="M767" s="31"/>
      <c r="U767" s="31"/>
      <c r="AA767" s="63"/>
      <c r="AC767" s="31"/>
      <c r="AN767" s="32"/>
      <c r="AO767" s="57"/>
    </row>
    <row r="768" spans="6:41">
      <c r="F768" s="31"/>
      <c r="M768" s="31"/>
      <c r="U768" s="31"/>
      <c r="AA768" s="63"/>
      <c r="AC768" s="31"/>
      <c r="AN768" s="32"/>
      <c r="AO768" s="57"/>
    </row>
    <row r="769" spans="6:41">
      <c r="F769" s="31"/>
      <c r="M769" s="31"/>
      <c r="U769" s="31"/>
      <c r="AA769" s="63"/>
      <c r="AC769" s="31"/>
      <c r="AN769" s="32"/>
      <c r="AO769" s="57"/>
    </row>
    <row r="770" spans="6:41">
      <c r="F770" s="31"/>
      <c r="M770" s="31"/>
      <c r="U770" s="31"/>
      <c r="AA770" s="63"/>
      <c r="AC770" s="31"/>
      <c r="AN770" s="32"/>
      <c r="AO770" s="57"/>
    </row>
    <row r="771" spans="6:41">
      <c r="F771" s="31"/>
      <c r="M771" s="31"/>
      <c r="U771" s="31"/>
      <c r="AA771" s="63"/>
      <c r="AC771" s="31"/>
      <c r="AN771" s="32"/>
      <c r="AO771" s="57"/>
    </row>
    <row r="772" spans="6:41">
      <c r="F772" s="31"/>
      <c r="M772" s="31"/>
      <c r="U772" s="31"/>
      <c r="AA772" s="63"/>
      <c r="AC772" s="31"/>
      <c r="AN772" s="32"/>
      <c r="AO772" s="57"/>
    </row>
    <row r="773" spans="6:41">
      <c r="F773" s="31"/>
      <c r="M773" s="31"/>
      <c r="U773" s="31"/>
      <c r="AA773" s="63"/>
      <c r="AC773" s="31"/>
      <c r="AN773" s="32"/>
      <c r="AO773" s="57"/>
    </row>
    <row r="774" spans="6:41">
      <c r="F774" s="31"/>
      <c r="M774" s="31"/>
      <c r="U774" s="31"/>
      <c r="AA774" s="63"/>
      <c r="AC774" s="31"/>
      <c r="AN774" s="32"/>
      <c r="AO774" s="57"/>
    </row>
    <row r="775" spans="6:41">
      <c r="F775" s="31"/>
      <c r="M775" s="31"/>
      <c r="U775" s="31"/>
      <c r="AA775" s="63"/>
      <c r="AC775" s="31"/>
      <c r="AN775" s="32"/>
      <c r="AO775" s="57"/>
    </row>
    <row r="776" spans="6:41">
      <c r="F776" s="31"/>
      <c r="M776" s="31"/>
      <c r="U776" s="31"/>
      <c r="AA776" s="63"/>
      <c r="AC776" s="31"/>
      <c r="AN776" s="32"/>
      <c r="AO776" s="57"/>
    </row>
    <row r="777" spans="6:41">
      <c r="F777" s="31"/>
      <c r="M777" s="31"/>
      <c r="U777" s="31"/>
      <c r="AA777" s="63"/>
      <c r="AC777" s="31"/>
      <c r="AN777" s="32"/>
      <c r="AO777" s="57"/>
    </row>
    <row r="778" spans="6:41">
      <c r="F778" s="31"/>
      <c r="M778" s="31"/>
      <c r="U778" s="31"/>
      <c r="AA778" s="63"/>
      <c r="AC778" s="31"/>
      <c r="AN778" s="32"/>
      <c r="AO778" s="57"/>
    </row>
    <row r="779" spans="6:41">
      <c r="F779" s="31"/>
      <c r="M779" s="31"/>
      <c r="U779" s="31"/>
      <c r="AA779" s="63"/>
      <c r="AC779" s="31"/>
      <c r="AN779" s="32"/>
      <c r="AO779" s="57"/>
    </row>
    <row r="780" spans="6:41">
      <c r="F780" s="31"/>
      <c r="M780" s="31"/>
      <c r="U780" s="31"/>
      <c r="AA780" s="63"/>
      <c r="AC780" s="31"/>
      <c r="AN780" s="32"/>
      <c r="AO780" s="57"/>
    </row>
    <row r="781" spans="6:41">
      <c r="F781" s="31"/>
      <c r="M781" s="31"/>
      <c r="U781" s="31"/>
      <c r="AA781" s="63"/>
      <c r="AC781" s="31"/>
      <c r="AN781" s="32"/>
      <c r="AO781" s="57"/>
    </row>
    <row r="782" spans="6:41">
      <c r="F782" s="31"/>
      <c r="M782" s="31"/>
      <c r="U782" s="31"/>
      <c r="AA782" s="63"/>
      <c r="AC782" s="31"/>
      <c r="AN782" s="32"/>
      <c r="AO782" s="57"/>
    </row>
    <row r="783" spans="6:41">
      <c r="F783" s="31"/>
      <c r="M783" s="31"/>
      <c r="U783" s="31"/>
      <c r="AA783" s="63"/>
      <c r="AC783" s="31"/>
      <c r="AN783" s="32"/>
      <c r="AO783" s="57"/>
    </row>
    <row r="784" spans="6:41">
      <c r="F784" s="31"/>
      <c r="M784" s="31"/>
      <c r="U784" s="31"/>
      <c r="AA784" s="63"/>
      <c r="AC784" s="31"/>
      <c r="AN784" s="32"/>
      <c r="AO784" s="57"/>
    </row>
    <row r="785" spans="6:41">
      <c r="F785" s="31"/>
      <c r="M785" s="31"/>
      <c r="U785" s="31"/>
      <c r="AA785" s="63"/>
      <c r="AC785" s="31"/>
      <c r="AN785" s="32"/>
      <c r="AO785" s="57"/>
    </row>
    <row r="786" spans="6:41">
      <c r="F786" s="31"/>
      <c r="M786" s="31"/>
      <c r="U786" s="31"/>
      <c r="AA786" s="63"/>
      <c r="AC786" s="31"/>
      <c r="AN786" s="32"/>
      <c r="AO786" s="57"/>
    </row>
    <row r="787" spans="6:41">
      <c r="F787" s="31"/>
      <c r="M787" s="31"/>
      <c r="U787" s="31"/>
      <c r="AA787" s="63"/>
      <c r="AC787" s="31"/>
      <c r="AN787" s="32"/>
      <c r="AO787" s="57"/>
    </row>
    <row r="788" spans="6:41">
      <c r="F788" s="31"/>
      <c r="M788" s="31"/>
      <c r="U788" s="31"/>
      <c r="AA788" s="63"/>
      <c r="AC788" s="31"/>
      <c r="AN788" s="32"/>
      <c r="AO788" s="57"/>
    </row>
    <row r="789" spans="6:41">
      <c r="F789" s="31"/>
      <c r="M789" s="31"/>
      <c r="U789" s="31"/>
      <c r="AA789" s="63"/>
      <c r="AC789" s="31"/>
      <c r="AN789" s="32"/>
      <c r="AO789" s="57"/>
    </row>
    <row r="790" spans="6:41">
      <c r="F790" s="31"/>
      <c r="M790" s="31"/>
      <c r="U790" s="31"/>
      <c r="AA790" s="63"/>
      <c r="AC790" s="31"/>
      <c r="AN790" s="32"/>
      <c r="AO790" s="57"/>
    </row>
    <row r="791" spans="6:41">
      <c r="F791" s="31"/>
      <c r="M791" s="31"/>
      <c r="U791" s="31"/>
      <c r="AA791" s="63"/>
      <c r="AC791" s="31"/>
      <c r="AN791" s="32"/>
      <c r="AO791" s="57"/>
    </row>
    <row r="792" spans="6:41">
      <c r="F792" s="31"/>
      <c r="M792" s="31"/>
      <c r="U792" s="31"/>
      <c r="AA792" s="63"/>
      <c r="AC792" s="31"/>
      <c r="AN792" s="32"/>
      <c r="AO792" s="57"/>
    </row>
    <row r="793" spans="6:41">
      <c r="F793" s="31"/>
      <c r="M793" s="31"/>
      <c r="U793" s="31"/>
      <c r="AA793" s="63"/>
      <c r="AC793" s="31"/>
      <c r="AN793" s="32"/>
      <c r="AO793" s="57"/>
    </row>
    <row r="794" spans="6:41">
      <c r="F794" s="31"/>
      <c r="M794" s="31"/>
      <c r="U794" s="31"/>
      <c r="AA794" s="63"/>
      <c r="AC794" s="31"/>
      <c r="AN794" s="32"/>
      <c r="AO794" s="57"/>
    </row>
    <row r="795" spans="6:41">
      <c r="F795" s="31"/>
      <c r="M795" s="31"/>
      <c r="U795" s="31"/>
      <c r="AA795" s="63"/>
      <c r="AC795" s="31"/>
      <c r="AN795" s="32"/>
      <c r="AO795" s="57"/>
    </row>
    <row r="796" spans="6:41">
      <c r="F796" s="31"/>
      <c r="M796" s="31"/>
      <c r="U796" s="31"/>
      <c r="AA796" s="63"/>
      <c r="AC796" s="31"/>
      <c r="AN796" s="32"/>
      <c r="AO796" s="57"/>
    </row>
    <row r="797" spans="6:41">
      <c r="F797" s="31"/>
      <c r="M797" s="31"/>
      <c r="U797" s="31"/>
      <c r="AA797" s="63"/>
      <c r="AC797" s="31"/>
      <c r="AN797" s="32"/>
      <c r="AO797" s="57"/>
    </row>
    <row r="798" spans="6:41">
      <c r="F798" s="31"/>
      <c r="M798" s="31"/>
      <c r="U798" s="31"/>
      <c r="AA798" s="63"/>
      <c r="AC798" s="31"/>
      <c r="AN798" s="32"/>
      <c r="AO798" s="57"/>
    </row>
    <row r="799" spans="6:41">
      <c r="F799" s="31"/>
      <c r="M799" s="31"/>
      <c r="U799" s="31"/>
      <c r="AA799" s="63"/>
      <c r="AC799" s="31"/>
      <c r="AN799" s="32"/>
      <c r="AO799" s="57"/>
    </row>
    <row r="800" spans="6:41">
      <c r="F800" s="31"/>
      <c r="M800" s="31"/>
      <c r="U800" s="31"/>
      <c r="AA800" s="63"/>
      <c r="AC800" s="31"/>
      <c r="AN800" s="32"/>
      <c r="AO800" s="57"/>
    </row>
    <row r="801" spans="6:41">
      <c r="F801" s="31"/>
      <c r="M801" s="31"/>
      <c r="U801" s="31"/>
      <c r="AA801" s="63"/>
      <c r="AC801" s="31"/>
      <c r="AN801" s="32"/>
      <c r="AO801" s="57"/>
    </row>
    <row r="802" spans="6:41">
      <c r="F802" s="31"/>
      <c r="M802" s="31"/>
      <c r="U802" s="31"/>
      <c r="AA802" s="63"/>
      <c r="AC802" s="31"/>
      <c r="AN802" s="32"/>
      <c r="AO802" s="57"/>
    </row>
    <row r="803" spans="6:41">
      <c r="F803" s="31"/>
      <c r="M803" s="31"/>
      <c r="U803" s="31"/>
      <c r="AA803" s="63"/>
      <c r="AC803" s="31"/>
      <c r="AN803" s="32"/>
      <c r="AO803" s="57"/>
    </row>
    <row r="804" spans="6:41">
      <c r="F804" s="31"/>
      <c r="M804" s="31"/>
      <c r="U804" s="31"/>
      <c r="AA804" s="63"/>
      <c r="AC804" s="31"/>
      <c r="AN804" s="32"/>
      <c r="AO804" s="57"/>
    </row>
    <row r="805" spans="6:41">
      <c r="F805" s="31"/>
      <c r="M805" s="31"/>
      <c r="U805" s="31"/>
      <c r="AA805" s="63"/>
      <c r="AC805" s="31"/>
      <c r="AN805" s="32"/>
      <c r="AO805" s="57"/>
    </row>
    <row r="806" spans="6:41">
      <c r="F806" s="31"/>
      <c r="M806" s="31"/>
      <c r="U806" s="31"/>
      <c r="AA806" s="63"/>
      <c r="AC806" s="31"/>
      <c r="AN806" s="32"/>
      <c r="AO806" s="57"/>
    </row>
    <row r="807" spans="6:41">
      <c r="F807" s="31"/>
      <c r="M807" s="31"/>
      <c r="U807" s="31"/>
      <c r="AA807" s="63"/>
      <c r="AC807" s="31"/>
      <c r="AN807" s="32"/>
      <c r="AO807" s="57"/>
    </row>
    <row r="808" spans="6:41">
      <c r="F808" s="31"/>
      <c r="M808" s="31"/>
      <c r="U808" s="31"/>
      <c r="AA808" s="63"/>
      <c r="AC808" s="31"/>
      <c r="AN808" s="32"/>
      <c r="AO808" s="57"/>
    </row>
    <row r="809" spans="6:41">
      <c r="F809" s="31"/>
      <c r="M809" s="31"/>
      <c r="U809" s="31"/>
      <c r="AA809" s="63"/>
      <c r="AC809" s="31"/>
      <c r="AN809" s="32"/>
      <c r="AO809" s="57"/>
    </row>
    <row r="810" spans="6:41">
      <c r="F810" s="31"/>
      <c r="M810" s="31"/>
      <c r="U810" s="31"/>
      <c r="AA810" s="63"/>
      <c r="AC810" s="31"/>
      <c r="AN810" s="32"/>
      <c r="AO810" s="57"/>
    </row>
    <row r="811" spans="6:41">
      <c r="F811" s="31"/>
      <c r="M811" s="31"/>
      <c r="U811" s="31"/>
      <c r="AA811" s="63"/>
      <c r="AC811" s="31"/>
      <c r="AN811" s="32"/>
      <c r="AO811" s="57"/>
    </row>
    <row r="812" spans="6:41">
      <c r="F812" s="31"/>
      <c r="M812" s="31"/>
      <c r="U812" s="31"/>
      <c r="AA812" s="63"/>
      <c r="AC812" s="31"/>
      <c r="AN812" s="32"/>
      <c r="AO812" s="57"/>
    </row>
    <row r="813" spans="6:41">
      <c r="F813" s="31"/>
      <c r="M813" s="31"/>
      <c r="U813" s="31"/>
      <c r="AA813" s="63"/>
      <c r="AC813" s="31"/>
      <c r="AN813" s="32"/>
      <c r="AO813" s="57"/>
    </row>
    <row r="814" spans="6:41">
      <c r="F814" s="31"/>
      <c r="M814" s="31"/>
      <c r="U814" s="31"/>
      <c r="AA814" s="63"/>
      <c r="AC814" s="31"/>
      <c r="AN814" s="32"/>
      <c r="AO814" s="57"/>
    </row>
    <row r="815" spans="6:41">
      <c r="F815" s="31"/>
      <c r="M815" s="31"/>
      <c r="U815" s="31"/>
      <c r="AA815" s="63"/>
      <c r="AC815" s="31"/>
      <c r="AN815" s="32"/>
      <c r="AO815" s="57"/>
    </row>
    <row r="816" spans="6:41">
      <c r="F816" s="31"/>
      <c r="M816" s="31"/>
      <c r="U816" s="31"/>
      <c r="AA816" s="63"/>
      <c r="AC816" s="31"/>
      <c r="AN816" s="32"/>
      <c r="AO816" s="57"/>
    </row>
    <row r="817" spans="6:41">
      <c r="F817" s="31"/>
      <c r="M817" s="31"/>
      <c r="U817" s="31"/>
      <c r="AA817" s="63"/>
      <c r="AC817" s="31"/>
      <c r="AN817" s="32"/>
      <c r="AO817" s="57"/>
    </row>
    <row r="818" spans="6:41">
      <c r="F818" s="31"/>
      <c r="M818" s="31"/>
      <c r="U818" s="31"/>
      <c r="AA818" s="63"/>
      <c r="AC818" s="31"/>
      <c r="AN818" s="32"/>
      <c r="AO818" s="57"/>
    </row>
    <row r="819" spans="6:41">
      <c r="F819" s="31"/>
      <c r="M819" s="31"/>
      <c r="U819" s="31"/>
      <c r="AA819" s="63"/>
      <c r="AC819" s="31"/>
      <c r="AN819" s="32"/>
      <c r="AO819" s="57"/>
    </row>
    <row r="820" spans="6:41">
      <c r="F820" s="31"/>
      <c r="M820" s="31"/>
      <c r="U820" s="31"/>
      <c r="AA820" s="63"/>
      <c r="AC820" s="31"/>
      <c r="AN820" s="32"/>
      <c r="AO820" s="57"/>
    </row>
    <row r="821" spans="6:41">
      <c r="F821" s="31"/>
      <c r="M821" s="31"/>
      <c r="U821" s="31"/>
      <c r="AA821" s="63"/>
      <c r="AC821" s="31"/>
      <c r="AN821" s="32"/>
      <c r="AO821" s="57"/>
    </row>
    <row r="822" spans="6:41">
      <c r="F822" s="31"/>
      <c r="M822" s="31"/>
      <c r="U822" s="31"/>
      <c r="AA822" s="63"/>
      <c r="AC822" s="31"/>
      <c r="AN822" s="32"/>
      <c r="AO822" s="57"/>
    </row>
    <row r="823" spans="6:41">
      <c r="F823" s="31"/>
      <c r="M823" s="31"/>
      <c r="U823" s="31"/>
      <c r="AA823" s="63"/>
      <c r="AC823" s="31"/>
      <c r="AN823" s="32"/>
      <c r="AO823" s="57"/>
    </row>
    <row r="824" spans="6:41">
      <c r="F824" s="31"/>
      <c r="M824" s="31"/>
      <c r="U824" s="31"/>
      <c r="AA824" s="63"/>
      <c r="AC824" s="31"/>
      <c r="AN824" s="32"/>
      <c r="AO824" s="57"/>
    </row>
    <row r="825" spans="6:41">
      <c r="F825" s="31"/>
      <c r="M825" s="31"/>
      <c r="U825" s="31"/>
      <c r="AA825" s="63"/>
      <c r="AC825" s="31"/>
      <c r="AN825" s="32"/>
      <c r="AO825" s="57"/>
    </row>
    <row r="826" spans="6:41">
      <c r="F826" s="31"/>
      <c r="M826" s="31"/>
      <c r="U826" s="31"/>
      <c r="AA826" s="63"/>
      <c r="AC826" s="31"/>
      <c r="AN826" s="32"/>
      <c r="AO826" s="57"/>
    </row>
    <row r="827" spans="6:41">
      <c r="F827" s="31"/>
      <c r="M827" s="31"/>
      <c r="U827" s="31"/>
      <c r="AA827" s="63"/>
      <c r="AC827" s="31"/>
      <c r="AN827" s="32"/>
      <c r="AO827" s="57"/>
    </row>
    <row r="828" spans="6:41">
      <c r="F828" s="31"/>
      <c r="M828" s="31"/>
      <c r="U828" s="31"/>
      <c r="AA828" s="63"/>
      <c r="AC828" s="31"/>
      <c r="AN828" s="32"/>
      <c r="AO828" s="57"/>
    </row>
    <row r="829" spans="6:41">
      <c r="F829" s="31"/>
      <c r="M829" s="31"/>
      <c r="U829" s="31"/>
      <c r="AA829" s="63"/>
      <c r="AC829" s="31"/>
      <c r="AN829" s="32"/>
      <c r="AO829" s="57"/>
    </row>
    <row r="830" spans="6:41">
      <c r="F830" s="31"/>
      <c r="M830" s="31"/>
      <c r="U830" s="31"/>
      <c r="AA830" s="63"/>
      <c r="AC830" s="31"/>
      <c r="AN830" s="32"/>
      <c r="AO830" s="57"/>
    </row>
    <row r="831" spans="6:41">
      <c r="F831" s="31"/>
      <c r="M831" s="31"/>
      <c r="U831" s="31"/>
      <c r="AA831" s="63"/>
      <c r="AC831" s="31"/>
      <c r="AN831" s="32"/>
      <c r="AO831" s="57"/>
    </row>
    <row r="832" spans="6:41">
      <c r="F832" s="31"/>
      <c r="M832" s="31"/>
      <c r="U832" s="31"/>
      <c r="AA832" s="63"/>
      <c r="AC832" s="31"/>
      <c r="AN832" s="32"/>
      <c r="AO832" s="57"/>
    </row>
    <row r="833" spans="6:41">
      <c r="F833" s="31"/>
      <c r="M833" s="31"/>
      <c r="U833" s="31"/>
      <c r="AA833" s="63"/>
      <c r="AC833" s="31"/>
      <c r="AN833" s="32"/>
      <c r="AO833" s="57"/>
    </row>
    <row r="834" spans="6:41">
      <c r="F834" s="31"/>
      <c r="M834" s="31"/>
      <c r="U834" s="31"/>
      <c r="AA834" s="63"/>
      <c r="AC834" s="31"/>
      <c r="AN834" s="32"/>
      <c r="AO834" s="57"/>
    </row>
    <row r="835" spans="6:41">
      <c r="F835" s="31"/>
      <c r="M835" s="31"/>
      <c r="U835" s="31"/>
      <c r="AA835" s="63"/>
      <c r="AC835" s="31"/>
      <c r="AN835" s="32"/>
      <c r="AO835" s="57"/>
    </row>
    <row r="836" spans="6:41">
      <c r="F836" s="31"/>
      <c r="M836" s="31"/>
      <c r="U836" s="31"/>
      <c r="AA836" s="63"/>
      <c r="AC836" s="31"/>
      <c r="AN836" s="32"/>
      <c r="AO836" s="57"/>
    </row>
    <row r="837" spans="6:41">
      <c r="F837" s="31"/>
      <c r="M837" s="31"/>
      <c r="U837" s="31"/>
      <c r="AA837" s="63"/>
      <c r="AC837" s="31"/>
      <c r="AN837" s="32"/>
      <c r="AO837" s="57"/>
    </row>
    <row r="838" spans="6:41">
      <c r="F838" s="31"/>
      <c r="M838" s="31"/>
      <c r="U838" s="31"/>
      <c r="AA838" s="63"/>
      <c r="AC838" s="31"/>
      <c r="AN838" s="32"/>
      <c r="AO838" s="57"/>
    </row>
    <row r="839" spans="6:41">
      <c r="F839" s="31"/>
      <c r="M839" s="31"/>
      <c r="U839" s="31"/>
      <c r="AA839" s="63"/>
      <c r="AC839" s="31"/>
      <c r="AN839" s="32"/>
      <c r="AO839" s="57"/>
    </row>
    <row r="840" spans="6:41">
      <c r="F840" s="31"/>
      <c r="M840" s="31"/>
      <c r="U840" s="31"/>
      <c r="AA840" s="63"/>
      <c r="AC840" s="31"/>
      <c r="AN840" s="32"/>
      <c r="AO840" s="57"/>
    </row>
    <row r="841" spans="6:41">
      <c r="F841" s="31"/>
      <c r="M841" s="31"/>
      <c r="U841" s="31"/>
      <c r="AA841" s="63"/>
      <c r="AC841" s="31"/>
      <c r="AN841" s="32"/>
      <c r="AO841" s="57"/>
    </row>
    <row r="842" spans="6:41">
      <c r="F842" s="31"/>
      <c r="M842" s="31"/>
      <c r="U842" s="31"/>
      <c r="AA842" s="63"/>
      <c r="AC842" s="31"/>
      <c r="AN842" s="32"/>
      <c r="AO842" s="57"/>
    </row>
    <row r="843" spans="6:41">
      <c r="F843" s="31"/>
      <c r="M843" s="31"/>
      <c r="U843" s="31"/>
      <c r="AA843" s="63"/>
      <c r="AC843" s="31"/>
      <c r="AN843" s="32"/>
      <c r="AO843" s="57"/>
    </row>
    <row r="844" spans="6:41">
      <c r="F844" s="31"/>
      <c r="M844" s="31"/>
      <c r="U844" s="31"/>
      <c r="AA844" s="63"/>
      <c r="AC844" s="31"/>
      <c r="AN844" s="32"/>
      <c r="AO844" s="57"/>
    </row>
    <row r="845" spans="6:41">
      <c r="F845" s="31"/>
      <c r="M845" s="31"/>
      <c r="U845" s="31"/>
      <c r="AA845" s="63"/>
      <c r="AC845" s="31"/>
      <c r="AN845" s="32"/>
      <c r="AO845" s="57"/>
    </row>
    <row r="846" spans="6:41">
      <c r="F846" s="31"/>
      <c r="M846" s="31"/>
      <c r="U846" s="31"/>
      <c r="AA846" s="63"/>
      <c r="AC846" s="31"/>
      <c r="AN846" s="32"/>
      <c r="AO846" s="57"/>
    </row>
    <row r="847" spans="6:41">
      <c r="F847" s="31"/>
      <c r="M847" s="31"/>
      <c r="U847" s="31"/>
      <c r="AA847" s="63"/>
      <c r="AC847" s="31"/>
      <c r="AN847" s="32"/>
      <c r="AO847" s="57"/>
    </row>
    <row r="848" spans="6:41">
      <c r="F848" s="31"/>
      <c r="M848" s="31"/>
      <c r="U848" s="31"/>
      <c r="AA848" s="63"/>
      <c r="AC848" s="31"/>
      <c r="AN848" s="32"/>
      <c r="AO848" s="57"/>
    </row>
    <row r="849" spans="6:41">
      <c r="F849" s="31"/>
      <c r="M849" s="31"/>
      <c r="U849" s="31"/>
      <c r="AA849" s="63"/>
      <c r="AC849" s="31"/>
      <c r="AN849" s="32"/>
      <c r="AO849" s="57"/>
    </row>
    <row r="850" spans="6:41">
      <c r="F850" s="31"/>
      <c r="M850" s="31"/>
      <c r="U850" s="31"/>
      <c r="AA850" s="63"/>
      <c r="AC850" s="31"/>
      <c r="AN850" s="32"/>
      <c r="AO850" s="57"/>
    </row>
    <row r="851" spans="6:41">
      <c r="F851" s="31"/>
      <c r="M851" s="31"/>
      <c r="U851" s="31"/>
      <c r="AA851" s="63"/>
      <c r="AC851" s="31"/>
      <c r="AN851" s="32"/>
      <c r="AO851" s="57"/>
    </row>
    <row r="852" spans="6:41">
      <c r="F852" s="31"/>
      <c r="M852" s="31"/>
      <c r="U852" s="31"/>
      <c r="AA852" s="63"/>
      <c r="AC852" s="31"/>
      <c r="AN852" s="32"/>
      <c r="AO852" s="57"/>
    </row>
    <row r="853" spans="6:41">
      <c r="F853" s="31"/>
      <c r="M853" s="31"/>
      <c r="U853" s="31"/>
      <c r="AA853" s="63"/>
      <c r="AC853" s="31"/>
      <c r="AN853" s="32"/>
      <c r="AO853" s="57"/>
    </row>
    <row r="854" spans="6:41">
      <c r="F854" s="31"/>
      <c r="M854" s="31"/>
      <c r="U854" s="31"/>
      <c r="AA854" s="63"/>
      <c r="AC854" s="31"/>
      <c r="AN854" s="32"/>
      <c r="AO854" s="57"/>
    </row>
    <row r="855" spans="6:41">
      <c r="F855" s="31"/>
      <c r="M855" s="31"/>
      <c r="U855" s="31"/>
      <c r="AA855" s="63"/>
      <c r="AC855" s="31"/>
      <c r="AN855" s="32"/>
      <c r="AO855" s="57"/>
    </row>
    <row r="856" spans="6:41">
      <c r="F856" s="31"/>
      <c r="M856" s="31"/>
      <c r="U856" s="31"/>
      <c r="AA856" s="63"/>
      <c r="AC856" s="31"/>
      <c r="AN856" s="32"/>
      <c r="AO856" s="57"/>
    </row>
    <row r="857" spans="6:41">
      <c r="F857" s="31"/>
      <c r="M857" s="31"/>
      <c r="U857" s="31"/>
      <c r="AA857" s="63"/>
      <c r="AC857" s="31"/>
      <c r="AN857" s="32"/>
      <c r="AO857" s="57"/>
    </row>
    <row r="858" spans="6:41">
      <c r="F858" s="31"/>
      <c r="M858" s="31"/>
      <c r="U858" s="31"/>
      <c r="AA858" s="63"/>
      <c r="AC858" s="31"/>
      <c r="AN858" s="32"/>
      <c r="AO858" s="57"/>
    </row>
    <row r="859" spans="6:41">
      <c r="F859" s="31"/>
      <c r="M859" s="31"/>
      <c r="U859" s="31"/>
      <c r="AA859" s="63"/>
      <c r="AC859" s="31"/>
      <c r="AN859" s="32"/>
      <c r="AO859" s="57"/>
    </row>
    <row r="860" spans="6:41">
      <c r="F860" s="31"/>
      <c r="M860" s="31"/>
      <c r="U860" s="31"/>
      <c r="AA860" s="63"/>
      <c r="AC860" s="31"/>
      <c r="AN860" s="32"/>
      <c r="AO860" s="57"/>
    </row>
    <row r="861" spans="6:41">
      <c r="F861" s="31"/>
      <c r="M861" s="31"/>
      <c r="U861" s="31"/>
      <c r="AA861" s="63"/>
      <c r="AC861" s="31"/>
      <c r="AN861" s="32"/>
      <c r="AO861" s="57"/>
    </row>
    <row r="862" spans="6:41">
      <c r="F862" s="31"/>
      <c r="M862" s="31"/>
      <c r="U862" s="31"/>
      <c r="AA862" s="63"/>
      <c r="AC862" s="31"/>
      <c r="AN862" s="32"/>
      <c r="AO862" s="57"/>
    </row>
    <row r="863" spans="6:41">
      <c r="F863" s="31"/>
      <c r="M863" s="31"/>
      <c r="U863" s="31"/>
      <c r="AA863" s="63"/>
      <c r="AC863" s="31"/>
      <c r="AN863" s="32"/>
      <c r="AO863" s="57"/>
    </row>
    <row r="864" spans="6:41">
      <c r="F864" s="31"/>
      <c r="M864" s="31"/>
      <c r="U864" s="31"/>
      <c r="AA864" s="63"/>
      <c r="AC864" s="31"/>
      <c r="AN864" s="32"/>
      <c r="AO864" s="57"/>
    </row>
    <row r="865" spans="6:41">
      <c r="F865" s="31"/>
      <c r="M865" s="31"/>
      <c r="U865" s="31"/>
      <c r="AA865" s="63"/>
      <c r="AC865" s="31"/>
      <c r="AN865" s="32"/>
      <c r="AO865" s="57"/>
    </row>
    <row r="866" spans="6:41">
      <c r="F866" s="31"/>
      <c r="M866" s="31"/>
      <c r="U866" s="31"/>
      <c r="AA866" s="63"/>
      <c r="AC866" s="31"/>
      <c r="AN866" s="32"/>
      <c r="AO866" s="57"/>
    </row>
    <row r="867" spans="6:41">
      <c r="F867" s="31"/>
      <c r="M867" s="31"/>
      <c r="U867" s="31"/>
      <c r="AA867" s="63"/>
      <c r="AC867" s="31"/>
      <c r="AN867" s="32"/>
      <c r="AO867" s="57"/>
    </row>
    <row r="868" spans="6:41">
      <c r="F868" s="31"/>
      <c r="M868" s="31"/>
      <c r="U868" s="31"/>
      <c r="AA868" s="63"/>
      <c r="AC868" s="31"/>
      <c r="AN868" s="32"/>
      <c r="AO868" s="57"/>
    </row>
    <row r="869" spans="6:41">
      <c r="F869" s="31"/>
      <c r="M869" s="31"/>
      <c r="U869" s="31"/>
      <c r="AA869" s="63"/>
      <c r="AC869" s="31"/>
      <c r="AN869" s="32"/>
      <c r="AO869" s="57"/>
    </row>
    <row r="870" spans="6:41">
      <c r="F870" s="31"/>
      <c r="M870" s="31"/>
      <c r="U870" s="31"/>
      <c r="AA870" s="63"/>
      <c r="AC870" s="31"/>
      <c r="AN870" s="32"/>
      <c r="AO870" s="57"/>
    </row>
    <row r="871" spans="6:41">
      <c r="F871" s="31"/>
      <c r="M871" s="31"/>
      <c r="U871" s="31"/>
      <c r="AA871" s="63"/>
      <c r="AC871" s="31"/>
      <c r="AN871" s="32"/>
      <c r="AO871" s="57"/>
    </row>
    <row r="872" spans="6:41">
      <c r="F872" s="31"/>
      <c r="M872" s="31"/>
      <c r="U872" s="31"/>
      <c r="AA872" s="63"/>
      <c r="AC872" s="31"/>
      <c r="AN872" s="32"/>
      <c r="AO872" s="57"/>
    </row>
    <row r="873" spans="6:41">
      <c r="F873" s="31"/>
      <c r="M873" s="31"/>
      <c r="U873" s="31"/>
      <c r="AA873" s="63"/>
      <c r="AC873" s="31"/>
      <c r="AN873" s="32"/>
      <c r="AO873" s="57"/>
    </row>
    <row r="874" spans="6:41">
      <c r="F874" s="31"/>
      <c r="M874" s="31"/>
      <c r="U874" s="31"/>
      <c r="AA874" s="63"/>
      <c r="AC874" s="31"/>
      <c r="AN874" s="32"/>
      <c r="AO874" s="57"/>
    </row>
    <row r="875" spans="6:41">
      <c r="F875" s="31"/>
      <c r="M875" s="31"/>
      <c r="U875" s="31"/>
      <c r="AA875" s="63"/>
      <c r="AC875" s="31"/>
      <c r="AN875" s="32"/>
      <c r="AO875" s="57"/>
    </row>
    <row r="876" spans="6:41">
      <c r="F876" s="31"/>
      <c r="M876" s="31"/>
      <c r="U876" s="31"/>
      <c r="AA876" s="63"/>
      <c r="AC876" s="31"/>
      <c r="AN876" s="32"/>
      <c r="AO876" s="57"/>
    </row>
    <row r="877" spans="6:41">
      <c r="F877" s="31"/>
      <c r="M877" s="31"/>
      <c r="U877" s="31"/>
      <c r="AA877" s="63"/>
      <c r="AC877" s="31"/>
      <c r="AN877" s="32"/>
      <c r="AO877" s="57"/>
    </row>
    <row r="878" spans="6:41">
      <c r="F878" s="31"/>
      <c r="M878" s="31"/>
      <c r="U878" s="31"/>
      <c r="AA878" s="63"/>
      <c r="AC878" s="31"/>
      <c r="AN878" s="32"/>
      <c r="AO878" s="57"/>
    </row>
    <row r="879" spans="6:41">
      <c r="F879" s="31"/>
      <c r="M879" s="31"/>
      <c r="U879" s="31"/>
      <c r="AA879" s="63"/>
      <c r="AC879" s="31"/>
      <c r="AN879" s="32"/>
      <c r="AO879" s="57"/>
    </row>
    <row r="880" spans="6:41">
      <c r="F880" s="31"/>
      <c r="M880" s="31"/>
      <c r="U880" s="31"/>
      <c r="AA880" s="63"/>
      <c r="AC880" s="31"/>
      <c r="AN880" s="32"/>
      <c r="AO880" s="57"/>
    </row>
    <row r="881" spans="6:41">
      <c r="F881" s="31"/>
      <c r="M881" s="31"/>
      <c r="U881" s="31"/>
      <c r="AA881" s="63"/>
      <c r="AC881" s="31"/>
      <c r="AN881" s="32"/>
      <c r="AO881" s="57"/>
    </row>
    <row r="882" spans="6:41">
      <c r="F882" s="31"/>
      <c r="M882" s="31"/>
      <c r="U882" s="31"/>
      <c r="AA882" s="63"/>
      <c r="AC882" s="31"/>
      <c r="AN882" s="32"/>
      <c r="AO882" s="57"/>
    </row>
    <row r="883" spans="6:41">
      <c r="F883" s="31"/>
      <c r="M883" s="31"/>
      <c r="U883" s="31"/>
      <c r="AA883" s="63"/>
      <c r="AC883" s="31"/>
      <c r="AN883" s="32"/>
      <c r="AO883" s="57"/>
    </row>
    <row r="884" spans="6:41">
      <c r="F884" s="31"/>
      <c r="M884" s="31"/>
      <c r="U884" s="31"/>
      <c r="AA884" s="63"/>
      <c r="AC884" s="31"/>
      <c r="AN884" s="32"/>
      <c r="AO884" s="57"/>
    </row>
    <row r="885" spans="6:41">
      <c r="F885" s="31"/>
      <c r="M885" s="31"/>
      <c r="U885" s="31"/>
      <c r="AA885" s="63"/>
      <c r="AC885" s="31"/>
      <c r="AN885" s="32"/>
      <c r="AO885" s="57"/>
    </row>
    <row r="886" spans="6:41">
      <c r="F886" s="31"/>
      <c r="M886" s="31"/>
      <c r="U886" s="31"/>
      <c r="AA886" s="63"/>
      <c r="AC886" s="31"/>
      <c r="AN886" s="32"/>
      <c r="AO886" s="57"/>
    </row>
    <row r="887" spans="6:41">
      <c r="F887" s="31"/>
      <c r="M887" s="31"/>
      <c r="U887" s="31"/>
      <c r="AA887" s="63"/>
      <c r="AC887" s="31"/>
      <c r="AN887" s="32"/>
      <c r="AO887" s="57"/>
    </row>
    <row r="888" spans="6:41">
      <c r="F888" s="31"/>
      <c r="M888" s="31"/>
      <c r="U888" s="31"/>
      <c r="AA888" s="63"/>
      <c r="AC888" s="31"/>
      <c r="AN888" s="32"/>
      <c r="AO888" s="57"/>
    </row>
    <row r="889" spans="6:41">
      <c r="F889" s="31"/>
      <c r="M889" s="31"/>
      <c r="U889" s="31"/>
      <c r="AA889" s="63"/>
      <c r="AC889" s="31"/>
      <c r="AN889" s="32"/>
      <c r="AO889" s="57"/>
    </row>
    <row r="890" spans="6:41">
      <c r="F890" s="31"/>
      <c r="M890" s="31"/>
      <c r="U890" s="31"/>
      <c r="AA890" s="63"/>
      <c r="AC890" s="31"/>
      <c r="AN890" s="32"/>
      <c r="AO890" s="57"/>
    </row>
    <row r="891" spans="6:41">
      <c r="F891" s="31"/>
      <c r="M891" s="31"/>
      <c r="U891" s="31"/>
      <c r="AA891" s="63"/>
      <c r="AC891" s="31"/>
      <c r="AN891" s="32"/>
      <c r="AO891" s="57"/>
    </row>
    <row r="892" spans="6:41">
      <c r="F892" s="31"/>
      <c r="M892" s="31"/>
      <c r="U892" s="31"/>
      <c r="AA892" s="63"/>
      <c r="AC892" s="31"/>
      <c r="AN892" s="32"/>
      <c r="AO892" s="57"/>
    </row>
    <row r="893" spans="6:41">
      <c r="F893" s="31"/>
      <c r="M893" s="31"/>
      <c r="U893" s="31"/>
      <c r="AA893" s="63"/>
      <c r="AC893" s="31"/>
      <c r="AN893" s="32"/>
      <c r="AO893" s="57"/>
    </row>
    <row r="894" spans="6:41">
      <c r="F894" s="31"/>
      <c r="M894" s="31"/>
      <c r="U894" s="31"/>
      <c r="AA894" s="63"/>
      <c r="AC894" s="31"/>
      <c r="AN894" s="32"/>
      <c r="AO894" s="57"/>
    </row>
    <row r="895" spans="6:41">
      <c r="F895" s="31"/>
      <c r="M895" s="31"/>
      <c r="U895" s="31"/>
      <c r="AA895" s="63"/>
      <c r="AC895" s="31"/>
      <c r="AN895" s="32"/>
      <c r="AO895" s="57"/>
    </row>
    <row r="896" spans="6:41">
      <c r="F896" s="31"/>
      <c r="M896" s="31"/>
      <c r="U896" s="31"/>
      <c r="AA896" s="63"/>
      <c r="AC896" s="31"/>
      <c r="AN896" s="32"/>
      <c r="AO896" s="57"/>
    </row>
    <row r="897" spans="6:41">
      <c r="F897" s="31"/>
      <c r="M897" s="31"/>
      <c r="U897" s="31"/>
      <c r="AA897" s="63"/>
      <c r="AC897" s="31"/>
      <c r="AN897" s="32"/>
      <c r="AO897" s="57"/>
    </row>
    <row r="898" spans="6:41">
      <c r="F898" s="31"/>
      <c r="M898" s="31"/>
      <c r="U898" s="31"/>
      <c r="AA898" s="63"/>
      <c r="AC898" s="31"/>
      <c r="AN898" s="32"/>
      <c r="AO898" s="57"/>
    </row>
    <row r="899" spans="6:41">
      <c r="F899" s="31"/>
      <c r="M899" s="31"/>
      <c r="U899" s="31"/>
      <c r="AA899" s="63"/>
      <c r="AC899" s="31"/>
      <c r="AN899" s="32"/>
      <c r="AO899" s="57"/>
    </row>
    <row r="900" spans="6:41">
      <c r="F900" s="31"/>
      <c r="M900" s="31"/>
      <c r="U900" s="31"/>
      <c r="AA900" s="63"/>
      <c r="AC900" s="31"/>
      <c r="AN900" s="32"/>
      <c r="AO900" s="57"/>
    </row>
    <row r="901" spans="6:41">
      <c r="F901" s="31"/>
      <c r="M901" s="31"/>
      <c r="U901" s="31"/>
      <c r="AA901" s="63"/>
      <c r="AC901" s="31"/>
      <c r="AN901" s="32"/>
      <c r="AO901" s="57"/>
    </row>
    <row r="902" spans="6:41">
      <c r="F902" s="31"/>
      <c r="M902" s="31"/>
      <c r="U902" s="31"/>
      <c r="AA902" s="63"/>
      <c r="AC902" s="31"/>
      <c r="AN902" s="32"/>
      <c r="AO902" s="57"/>
    </row>
    <row r="903" spans="6:41">
      <c r="F903" s="31"/>
      <c r="M903" s="31"/>
      <c r="U903" s="31"/>
      <c r="AA903" s="63"/>
      <c r="AC903" s="31"/>
      <c r="AN903" s="32"/>
      <c r="AO903" s="57"/>
    </row>
    <row r="904" spans="6:41">
      <c r="F904" s="31"/>
      <c r="M904" s="31"/>
      <c r="U904" s="31"/>
      <c r="AA904" s="63"/>
      <c r="AC904" s="31"/>
      <c r="AN904" s="32"/>
      <c r="AO904" s="57"/>
    </row>
    <row r="905" spans="6:41">
      <c r="F905" s="31"/>
      <c r="M905" s="31"/>
      <c r="U905" s="31"/>
      <c r="AA905" s="63"/>
      <c r="AC905" s="31"/>
      <c r="AN905" s="32"/>
      <c r="AO905" s="57"/>
    </row>
    <row r="906" spans="6:41">
      <c r="F906" s="31"/>
      <c r="M906" s="31"/>
      <c r="U906" s="31"/>
      <c r="AA906" s="63"/>
      <c r="AC906" s="31"/>
      <c r="AN906" s="32"/>
      <c r="AO906" s="57"/>
    </row>
    <row r="907" spans="6:41">
      <c r="F907" s="31"/>
      <c r="M907" s="31"/>
      <c r="U907" s="31"/>
      <c r="AA907" s="63"/>
      <c r="AC907" s="31"/>
      <c r="AN907" s="32"/>
      <c r="AO907" s="57"/>
    </row>
    <row r="908" spans="6:41">
      <c r="F908" s="31"/>
      <c r="M908" s="31"/>
      <c r="U908" s="31"/>
      <c r="AA908" s="63"/>
      <c r="AC908" s="31"/>
      <c r="AN908" s="32"/>
      <c r="AO908" s="57"/>
    </row>
    <row r="909" spans="6:41">
      <c r="F909" s="31"/>
      <c r="M909" s="31"/>
      <c r="U909" s="31"/>
      <c r="AA909" s="63"/>
      <c r="AC909" s="31"/>
      <c r="AN909" s="32"/>
      <c r="AO909" s="57"/>
    </row>
    <row r="910" spans="6:41">
      <c r="F910" s="31"/>
      <c r="M910" s="31"/>
      <c r="U910" s="31"/>
      <c r="AA910" s="63"/>
      <c r="AC910" s="31"/>
      <c r="AN910" s="32"/>
      <c r="AO910" s="57"/>
    </row>
    <row r="911" spans="6:41">
      <c r="F911" s="31"/>
      <c r="M911" s="31"/>
      <c r="U911" s="31"/>
      <c r="AA911" s="63"/>
      <c r="AC911" s="31"/>
      <c r="AN911" s="32"/>
      <c r="AO911" s="57"/>
    </row>
    <row r="912" spans="6:41">
      <c r="F912" s="31"/>
      <c r="M912" s="31"/>
      <c r="U912" s="31"/>
      <c r="AA912" s="63"/>
      <c r="AC912" s="31"/>
      <c r="AN912" s="32"/>
      <c r="AO912" s="57"/>
    </row>
    <row r="913" spans="6:41">
      <c r="F913" s="31"/>
      <c r="M913" s="31"/>
      <c r="U913" s="31"/>
      <c r="AA913" s="63"/>
      <c r="AC913" s="31"/>
      <c r="AN913" s="32"/>
      <c r="AO913" s="57"/>
    </row>
    <row r="914" spans="6:41">
      <c r="F914" s="31"/>
      <c r="M914" s="31"/>
      <c r="U914" s="31"/>
      <c r="AA914" s="63"/>
      <c r="AC914" s="31"/>
      <c r="AN914" s="32"/>
      <c r="AO914" s="57"/>
    </row>
    <row r="915" spans="6:41">
      <c r="F915" s="31"/>
      <c r="M915" s="31"/>
      <c r="U915" s="31"/>
      <c r="AA915" s="63"/>
      <c r="AC915" s="31"/>
      <c r="AN915" s="32"/>
      <c r="AO915" s="57"/>
    </row>
    <row r="916" spans="6:41">
      <c r="F916" s="31"/>
      <c r="M916" s="31"/>
      <c r="U916" s="31"/>
      <c r="AA916" s="63"/>
      <c r="AC916" s="31"/>
      <c r="AN916" s="32"/>
      <c r="AO916" s="57"/>
    </row>
    <row r="917" spans="6:41">
      <c r="F917" s="31"/>
      <c r="M917" s="31"/>
      <c r="U917" s="31"/>
      <c r="AA917" s="63"/>
      <c r="AC917" s="31"/>
      <c r="AN917" s="32"/>
      <c r="AO917" s="57"/>
    </row>
    <row r="918" spans="6:41">
      <c r="F918" s="31"/>
      <c r="M918" s="31"/>
      <c r="U918" s="31"/>
      <c r="AA918" s="63"/>
      <c r="AC918" s="31"/>
      <c r="AN918" s="32"/>
      <c r="AO918" s="57"/>
    </row>
    <row r="919" spans="6:41">
      <c r="F919" s="31"/>
      <c r="M919" s="31"/>
      <c r="U919" s="31"/>
      <c r="AA919" s="63"/>
      <c r="AC919" s="31"/>
      <c r="AN919" s="32"/>
      <c r="AO919" s="57"/>
    </row>
    <row r="920" spans="6:41">
      <c r="F920" s="31"/>
      <c r="M920" s="31"/>
      <c r="U920" s="31"/>
      <c r="AA920" s="63"/>
      <c r="AC920" s="31"/>
      <c r="AN920" s="32"/>
      <c r="AO920" s="57"/>
    </row>
    <row r="921" spans="6:41">
      <c r="F921" s="31"/>
      <c r="M921" s="31"/>
      <c r="U921" s="31"/>
      <c r="AA921" s="63"/>
      <c r="AC921" s="31"/>
      <c r="AN921" s="32"/>
      <c r="AO921" s="57"/>
    </row>
    <row r="922" spans="6:41">
      <c r="F922" s="31"/>
      <c r="M922" s="31"/>
      <c r="U922" s="31"/>
      <c r="AA922" s="63"/>
      <c r="AC922" s="31"/>
      <c r="AN922" s="32"/>
      <c r="AO922" s="57"/>
    </row>
    <row r="923" spans="6:41">
      <c r="F923" s="31"/>
      <c r="M923" s="31"/>
      <c r="U923" s="31"/>
      <c r="AA923" s="63"/>
      <c r="AC923" s="31"/>
      <c r="AN923" s="32"/>
      <c r="AO923" s="57"/>
    </row>
    <row r="924" spans="6:41">
      <c r="F924" s="31"/>
      <c r="M924" s="31"/>
      <c r="U924" s="31"/>
      <c r="AA924" s="63"/>
      <c r="AC924" s="31"/>
      <c r="AN924" s="32"/>
      <c r="AO924" s="57"/>
    </row>
    <row r="925" spans="6:41">
      <c r="F925" s="31"/>
      <c r="M925" s="31"/>
      <c r="U925" s="31"/>
      <c r="AA925" s="63"/>
      <c r="AC925" s="31"/>
      <c r="AN925" s="32"/>
      <c r="AO925" s="57"/>
    </row>
    <row r="926" spans="6:41">
      <c r="F926" s="31"/>
      <c r="M926" s="31"/>
      <c r="U926" s="31"/>
      <c r="AA926" s="63"/>
      <c r="AC926" s="31"/>
      <c r="AN926" s="32"/>
      <c r="AO926" s="57"/>
    </row>
    <row r="927" spans="6:41">
      <c r="F927" s="31"/>
      <c r="M927" s="31"/>
      <c r="U927" s="31"/>
      <c r="AA927" s="63"/>
      <c r="AC927" s="31"/>
      <c r="AN927" s="32"/>
      <c r="AO927" s="57"/>
    </row>
    <row r="928" spans="6:41">
      <c r="F928" s="31"/>
      <c r="M928" s="31"/>
      <c r="U928" s="31"/>
      <c r="AA928" s="63"/>
      <c r="AC928" s="31"/>
      <c r="AN928" s="32"/>
      <c r="AO928" s="57"/>
    </row>
    <row r="929" spans="6:41">
      <c r="F929" s="31"/>
      <c r="M929" s="31"/>
      <c r="U929" s="31"/>
      <c r="AA929" s="63"/>
      <c r="AC929" s="31"/>
      <c r="AN929" s="32"/>
      <c r="AO929" s="57"/>
    </row>
    <row r="930" spans="6:41">
      <c r="F930" s="31"/>
      <c r="M930" s="31"/>
      <c r="U930" s="31"/>
      <c r="AA930" s="63"/>
      <c r="AC930" s="31"/>
      <c r="AN930" s="32"/>
      <c r="AO930" s="57"/>
    </row>
    <row r="931" spans="6:41">
      <c r="F931" s="31"/>
      <c r="M931" s="31"/>
      <c r="U931" s="31"/>
      <c r="AA931" s="63"/>
      <c r="AC931" s="31"/>
      <c r="AN931" s="32"/>
      <c r="AO931" s="57"/>
    </row>
    <row r="932" spans="6:41">
      <c r="F932" s="31"/>
      <c r="M932" s="31"/>
      <c r="U932" s="31"/>
      <c r="AA932" s="63"/>
      <c r="AC932" s="31"/>
      <c r="AN932" s="32"/>
      <c r="AO932" s="57"/>
    </row>
    <row r="933" spans="6:41">
      <c r="F933" s="31"/>
      <c r="M933" s="31"/>
      <c r="U933" s="31"/>
      <c r="AA933" s="63"/>
      <c r="AC933" s="31"/>
      <c r="AN933" s="32"/>
      <c r="AO933" s="57"/>
    </row>
    <row r="934" spans="6:41">
      <c r="F934" s="31"/>
      <c r="M934" s="31"/>
      <c r="U934" s="31"/>
      <c r="AA934" s="63"/>
      <c r="AC934" s="31"/>
      <c r="AN934" s="32"/>
      <c r="AO934" s="57"/>
    </row>
    <row r="935" spans="6:41">
      <c r="F935" s="31"/>
      <c r="M935" s="31"/>
      <c r="U935" s="31"/>
      <c r="AA935" s="63"/>
      <c r="AC935" s="31"/>
      <c r="AN935" s="32"/>
      <c r="AO935" s="57"/>
    </row>
    <row r="936" spans="6:41">
      <c r="F936" s="31"/>
      <c r="M936" s="31"/>
      <c r="U936" s="31"/>
      <c r="AA936" s="63"/>
      <c r="AC936" s="31"/>
      <c r="AN936" s="32"/>
      <c r="AO936" s="57"/>
    </row>
    <row r="937" spans="6:41">
      <c r="F937" s="31"/>
      <c r="M937" s="31"/>
      <c r="U937" s="31"/>
      <c r="AA937" s="63"/>
      <c r="AC937" s="31"/>
      <c r="AN937" s="32"/>
      <c r="AO937" s="57"/>
    </row>
    <row r="938" spans="6:41">
      <c r="F938" s="31"/>
      <c r="M938" s="31"/>
      <c r="U938" s="31"/>
      <c r="AA938" s="63"/>
      <c r="AC938" s="31"/>
      <c r="AN938" s="32"/>
      <c r="AO938" s="57"/>
    </row>
    <row r="939" spans="6:41">
      <c r="F939" s="31"/>
      <c r="M939" s="31"/>
      <c r="U939" s="31"/>
      <c r="AA939" s="63"/>
      <c r="AC939" s="31"/>
      <c r="AN939" s="32"/>
      <c r="AO939" s="57"/>
    </row>
    <row r="940" spans="6:41">
      <c r="F940" s="31"/>
      <c r="M940" s="31"/>
      <c r="U940" s="31"/>
      <c r="AA940" s="63"/>
      <c r="AC940" s="31"/>
      <c r="AN940" s="32"/>
      <c r="AO940" s="57"/>
    </row>
    <row r="941" spans="6:41">
      <c r="F941" s="31"/>
      <c r="M941" s="31"/>
      <c r="U941" s="31"/>
      <c r="AA941" s="63"/>
      <c r="AC941" s="31"/>
      <c r="AN941" s="32"/>
      <c r="AO941" s="57"/>
    </row>
    <row r="942" spans="6:41">
      <c r="F942" s="31"/>
      <c r="M942" s="31"/>
      <c r="U942" s="31"/>
      <c r="AA942" s="63"/>
      <c r="AC942" s="31"/>
      <c r="AN942" s="32"/>
      <c r="AO942" s="57"/>
    </row>
    <row r="943" spans="6:41">
      <c r="F943" s="31"/>
      <c r="M943" s="31"/>
      <c r="U943" s="31"/>
      <c r="AA943" s="63"/>
      <c r="AC943" s="31"/>
      <c r="AN943" s="32"/>
      <c r="AO943" s="57"/>
    </row>
    <row r="944" spans="6:41">
      <c r="F944" s="31"/>
      <c r="M944" s="31"/>
      <c r="U944" s="31"/>
      <c r="AA944" s="63"/>
      <c r="AC944" s="31"/>
      <c r="AN944" s="32"/>
      <c r="AO944" s="57"/>
    </row>
    <row r="945" spans="6:41">
      <c r="F945" s="31"/>
      <c r="M945" s="31"/>
      <c r="U945" s="31"/>
      <c r="AA945" s="63"/>
      <c r="AC945" s="31"/>
      <c r="AN945" s="32"/>
      <c r="AO945" s="57"/>
    </row>
    <row r="946" spans="6:41">
      <c r="F946" s="31"/>
      <c r="M946" s="31"/>
      <c r="U946" s="31"/>
      <c r="AA946" s="63"/>
      <c r="AC946" s="31"/>
      <c r="AN946" s="32"/>
      <c r="AO946" s="57"/>
    </row>
    <row r="947" spans="6:41">
      <c r="F947" s="31"/>
      <c r="M947" s="31"/>
      <c r="U947" s="31"/>
      <c r="AA947" s="63"/>
      <c r="AC947" s="31"/>
      <c r="AN947" s="32"/>
      <c r="AO947" s="57"/>
    </row>
    <row r="948" spans="6:41">
      <c r="F948" s="31"/>
      <c r="M948" s="31"/>
      <c r="U948" s="31"/>
      <c r="AA948" s="63"/>
      <c r="AC948" s="31"/>
      <c r="AN948" s="32"/>
      <c r="AO948" s="57"/>
    </row>
    <row r="949" spans="6:41">
      <c r="F949" s="31"/>
      <c r="M949" s="31"/>
      <c r="U949" s="31"/>
      <c r="AA949" s="63"/>
      <c r="AC949" s="31"/>
      <c r="AN949" s="32"/>
      <c r="AO949" s="57"/>
    </row>
    <row r="950" spans="6:41">
      <c r="F950" s="31"/>
      <c r="M950" s="31"/>
      <c r="U950" s="31"/>
      <c r="AA950" s="63"/>
      <c r="AC950" s="31"/>
      <c r="AN950" s="32"/>
      <c r="AO950" s="57"/>
    </row>
    <row r="951" spans="6:41">
      <c r="F951" s="31"/>
      <c r="M951" s="31"/>
      <c r="U951" s="31"/>
      <c r="AA951" s="63"/>
      <c r="AC951" s="31"/>
      <c r="AN951" s="32"/>
      <c r="AO951" s="57"/>
    </row>
    <row r="952" spans="6:41">
      <c r="F952" s="31"/>
      <c r="M952" s="31"/>
      <c r="U952" s="31"/>
      <c r="AA952" s="63"/>
      <c r="AC952" s="31"/>
      <c r="AN952" s="32"/>
      <c r="AO952" s="57"/>
    </row>
    <row r="953" spans="6:41">
      <c r="F953" s="31"/>
      <c r="M953" s="31"/>
      <c r="U953" s="31"/>
      <c r="AA953" s="63"/>
      <c r="AC953" s="31"/>
      <c r="AN953" s="32"/>
      <c r="AO953" s="57"/>
    </row>
    <row r="954" spans="6:41">
      <c r="F954" s="31"/>
      <c r="M954" s="31"/>
      <c r="U954" s="31"/>
      <c r="AA954" s="63"/>
      <c r="AC954" s="31"/>
      <c r="AN954" s="32"/>
      <c r="AO954" s="57"/>
    </row>
    <row r="955" spans="6:41">
      <c r="F955" s="31"/>
      <c r="M955" s="31"/>
      <c r="U955" s="31"/>
      <c r="AA955" s="63"/>
      <c r="AC955" s="31"/>
      <c r="AN955" s="32"/>
      <c r="AO955" s="57"/>
    </row>
    <row r="956" spans="6:41">
      <c r="F956" s="31"/>
      <c r="M956" s="31"/>
      <c r="U956" s="31"/>
      <c r="AA956" s="63"/>
      <c r="AC956" s="31"/>
      <c r="AN956" s="32"/>
      <c r="AO956" s="57"/>
    </row>
    <row r="957" spans="6:41">
      <c r="F957" s="31"/>
      <c r="M957" s="31"/>
      <c r="U957" s="31"/>
      <c r="AA957" s="63"/>
      <c r="AC957" s="31"/>
      <c r="AN957" s="32"/>
      <c r="AO957" s="57"/>
    </row>
    <row r="958" spans="6:41">
      <c r="F958" s="31"/>
      <c r="M958" s="31"/>
      <c r="U958" s="31"/>
      <c r="AA958" s="63"/>
      <c r="AC958" s="31"/>
      <c r="AN958" s="32"/>
      <c r="AO958" s="57"/>
    </row>
    <row r="959" spans="6:41">
      <c r="F959" s="31"/>
      <c r="M959" s="31"/>
      <c r="U959" s="31"/>
      <c r="AA959" s="63"/>
      <c r="AC959" s="31"/>
      <c r="AN959" s="32"/>
      <c r="AO959" s="57"/>
    </row>
    <row r="960" spans="6:41">
      <c r="F960" s="31"/>
      <c r="M960" s="31"/>
      <c r="U960" s="31"/>
      <c r="AA960" s="63"/>
      <c r="AC960" s="31"/>
      <c r="AN960" s="32"/>
      <c r="AO960" s="57"/>
    </row>
    <row r="961" spans="6:41">
      <c r="F961" s="31"/>
      <c r="M961" s="31"/>
      <c r="U961" s="31"/>
      <c r="AA961" s="63"/>
      <c r="AC961" s="31"/>
      <c r="AN961" s="32"/>
      <c r="AO961" s="57"/>
    </row>
    <row r="962" spans="6:41">
      <c r="F962" s="31"/>
      <c r="M962" s="31"/>
      <c r="U962" s="31"/>
      <c r="AA962" s="63"/>
      <c r="AC962" s="31"/>
      <c r="AN962" s="32"/>
      <c r="AO962" s="57"/>
    </row>
    <row r="963" spans="6:41">
      <c r="F963" s="31"/>
      <c r="M963" s="31"/>
      <c r="U963" s="31"/>
      <c r="AA963" s="63"/>
      <c r="AC963" s="31"/>
      <c r="AN963" s="32"/>
      <c r="AO963" s="57"/>
    </row>
    <row r="964" spans="6:41">
      <c r="F964" s="31"/>
      <c r="M964" s="31"/>
      <c r="U964" s="31"/>
      <c r="AA964" s="63"/>
      <c r="AC964" s="31"/>
      <c r="AN964" s="32"/>
      <c r="AO964" s="57"/>
    </row>
    <row r="965" spans="6:41">
      <c r="F965" s="31"/>
      <c r="M965" s="31"/>
      <c r="U965" s="31"/>
      <c r="AA965" s="63"/>
      <c r="AC965" s="31"/>
      <c r="AN965" s="32"/>
      <c r="AO965" s="57"/>
    </row>
    <row r="966" spans="6:41">
      <c r="F966" s="31"/>
      <c r="M966" s="31"/>
      <c r="U966" s="31"/>
      <c r="AA966" s="63"/>
      <c r="AC966" s="31"/>
      <c r="AN966" s="32"/>
      <c r="AO966" s="57"/>
    </row>
    <row r="967" spans="6:41">
      <c r="F967" s="31"/>
      <c r="M967" s="31"/>
      <c r="U967" s="31"/>
      <c r="AA967" s="63"/>
      <c r="AC967" s="31"/>
      <c r="AN967" s="32"/>
      <c r="AO967" s="57"/>
    </row>
    <row r="968" spans="6:41">
      <c r="F968" s="31"/>
      <c r="M968" s="31"/>
      <c r="U968" s="31"/>
      <c r="AA968" s="63"/>
      <c r="AC968" s="31"/>
      <c r="AN968" s="32"/>
      <c r="AO968" s="57"/>
    </row>
    <row r="969" spans="6:41">
      <c r="F969" s="31"/>
      <c r="M969" s="31"/>
      <c r="U969" s="31"/>
      <c r="AA969" s="63"/>
      <c r="AC969" s="31"/>
      <c r="AN969" s="32"/>
      <c r="AO969" s="57"/>
    </row>
    <row r="970" spans="6:41">
      <c r="F970" s="31"/>
      <c r="M970" s="31"/>
      <c r="U970" s="31"/>
      <c r="AA970" s="63"/>
      <c r="AC970" s="31"/>
      <c r="AN970" s="32"/>
      <c r="AO970" s="57"/>
    </row>
    <row r="971" spans="6:41">
      <c r="F971" s="31"/>
      <c r="M971" s="31"/>
      <c r="U971" s="31"/>
      <c r="AA971" s="63"/>
      <c r="AC971" s="31"/>
      <c r="AN971" s="32"/>
      <c r="AO971" s="57"/>
    </row>
    <row r="972" spans="6:41">
      <c r="F972" s="31"/>
      <c r="M972" s="31"/>
      <c r="U972" s="31"/>
      <c r="AA972" s="63"/>
      <c r="AC972" s="31"/>
      <c r="AN972" s="32"/>
      <c r="AO972" s="57"/>
    </row>
    <row r="973" spans="6:41">
      <c r="F973" s="31"/>
      <c r="M973" s="31"/>
      <c r="U973" s="31"/>
      <c r="AA973" s="63"/>
      <c r="AC973" s="31"/>
      <c r="AN973" s="32"/>
      <c r="AO973" s="57"/>
    </row>
    <row r="974" spans="6:41">
      <c r="F974" s="31"/>
      <c r="M974" s="31"/>
      <c r="U974" s="31"/>
      <c r="AA974" s="63"/>
      <c r="AC974" s="31"/>
      <c r="AN974" s="32"/>
      <c r="AO974" s="57"/>
    </row>
    <row r="975" spans="6:41">
      <c r="F975" s="31"/>
      <c r="M975" s="31"/>
      <c r="U975" s="31"/>
      <c r="AA975" s="63"/>
      <c r="AC975" s="31"/>
      <c r="AN975" s="32"/>
      <c r="AO975" s="57"/>
    </row>
    <row r="976" spans="6:41">
      <c r="F976" s="31"/>
      <c r="M976" s="31"/>
      <c r="U976" s="31"/>
      <c r="AA976" s="63"/>
      <c r="AC976" s="31"/>
      <c r="AN976" s="32"/>
      <c r="AO976" s="57"/>
    </row>
    <row r="977" spans="6:41">
      <c r="F977" s="31"/>
      <c r="M977" s="31"/>
      <c r="U977" s="31"/>
      <c r="AA977" s="63"/>
      <c r="AC977" s="31"/>
      <c r="AN977" s="32"/>
      <c r="AO977" s="57"/>
    </row>
    <row r="978" spans="6:41">
      <c r="F978" s="31"/>
      <c r="M978" s="31"/>
      <c r="U978" s="31"/>
      <c r="AA978" s="63"/>
      <c r="AC978" s="31"/>
      <c r="AN978" s="32"/>
      <c r="AO978" s="57"/>
    </row>
    <row r="979" spans="6:41">
      <c r="F979" s="31"/>
      <c r="M979" s="31"/>
      <c r="U979" s="31"/>
      <c r="AA979" s="63"/>
      <c r="AC979" s="31"/>
      <c r="AN979" s="32"/>
      <c r="AO979" s="57"/>
    </row>
    <row r="980" spans="6:41">
      <c r="F980" s="31"/>
      <c r="M980" s="31"/>
      <c r="U980" s="31"/>
      <c r="AA980" s="63"/>
      <c r="AC980" s="31"/>
      <c r="AN980" s="32"/>
      <c r="AO980" s="57"/>
    </row>
    <row r="981" spans="6:41">
      <c r="F981" s="31"/>
      <c r="M981" s="31"/>
      <c r="U981" s="31"/>
      <c r="AA981" s="63"/>
      <c r="AC981" s="31"/>
      <c r="AN981" s="32"/>
      <c r="AO981" s="57"/>
    </row>
    <row r="982" spans="6:41">
      <c r="F982" s="31"/>
      <c r="M982" s="31"/>
      <c r="U982" s="31"/>
      <c r="AA982" s="63"/>
      <c r="AC982" s="31"/>
      <c r="AN982" s="32"/>
      <c r="AO982" s="57"/>
    </row>
    <row r="983" spans="6:41">
      <c r="F983" s="31"/>
      <c r="M983" s="31"/>
      <c r="U983" s="31"/>
      <c r="AA983" s="63"/>
      <c r="AC983" s="31"/>
      <c r="AN983" s="32"/>
      <c r="AO983" s="57"/>
    </row>
    <row r="984" spans="6:41">
      <c r="F984" s="31"/>
      <c r="M984" s="31"/>
      <c r="U984" s="31"/>
      <c r="AA984" s="63"/>
      <c r="AC984" s="31"/>
      <c r="AN984" s="32"/>
      <c r="AO984" s="57"/>
    </row>
    <row r="985" spans="6:41">
      <c r="F985" s="31"/>
      <c r="M985" s="31"/>
      <c r="U985" s="31"/>
      <c r="AA985" s="63"/>
      <c r="AC985" s="31"/>
      <c r="AN985" s="32"/>
      <c r="AO985" s="57"/>
    </row>
    <row r="986" spans="6:41">
      <c r="F986" s="31"/>
      <c r="M986" s="31"/>
      <c r="U986" s="31"/>
      <c r="AA986" s="63"/>
      <c r="AC986" s="31"/>
      <c r="AN986" s="32"/>
      <c r="AO986" s="57"/>
    </row>
    <row r="987" spans="6:41">
      <c r="F987" s="31"/>
      <c r="M987" s="31"/>
      <c r="U987" s="31"/>
      <c r="AA987" s="63"/>
      <c r="AC987" s="31"/>
      <c r="AN987" s="32"/>
      <c r="AO987" s="57"/>
    </row>
    <row r="988" spans="6:41">
      <c r="F988" s="31"/>
      <c r="M988" s="31"/>
      <c r="U988" s="31"/>
      <c r="AA988" s="63"/>
      <c r="AC988" s="31"/>
      <c r="AN988" s="32"/>
      <c r="AO988" s="57"/>
    </row>
    <row r="989" spans="6:41">
      <c r="F989" s="31"/>
      <c r="M989" s="31"/>
      <c r="U989" s="31"/>
      <c r="AA989" s="63"/>
      <c r="AC989" s="31"/>
      <c r="AN989" s="32"/>
      <c r="AO989" s="57"/>
    </row>
    <row r="990" spans="6:41">
      <c r="F990" s="31"/>
      <c r="M990" s="31"/>
      <c r="U990" s="31"/>
      <c r="AA990" s="63"/>
      <c r="AC990" s="31"/>
      <c r="AN990" s="32"/>
      <c r="AO990" s="57"/>
    </row>
    <row r="991" spans="6:41">
      <c r="F991" s="31"/>
      <c r="M991" s="31"/>
      <c r="U991" s="31"/>
      <c r="AA991" s="63"/>
      <c r="AC991" s="31"/>
      <c r="AN991" s="32"/>
      <c r="AO991" s="57"/>
    </row>
    <row r="992" spans="6:41">
      <c r="F992" s="31"/>
      <c r="M992" s="31"/>
      <c r="U992" s="31"/>
      <c r="AA992" s="63"/>
      <c r="AC992" s="31"/>
      <c r="AN992" s="32"/>
      <c r="AO992" s="57"/>
    </row>
    <row r="993" spans="6:41">
      <c r="F993" s="31"/>
      <c r="M993" s="31"/>
      <c r="U993" s="31"/>
      <c r="AA993" s="63"/>
      <c r="AC993" s="31"/>
      <c r="AN993" s="32"/>
      <c r="AO993" s="57"/>
    </row>
    <row r="994" spans="6:41">
      <c r="F994" s="31"/>
      <c r="M994" s="31"/>
      <c r="U994" s="31"/>
      <c r="AA994" s="63"/>
      <c r="AC994" s="31"/>
      <c r="AN994" s="32"/>
      <c r="AO994" s="57"/>
    </row>
    <row r="995" spans="6:41">
      <c r="F995" s="31"/>
      <c r="M995" s="31"/>
      <c r="U995" s="31"/>
      <c r="AA995" s="63"/>
      <c r="AC995" s="31"/>
      <c r="AN995" s="32"/>
      <c r="AO995" s="57"/>
    </row>
    <row r="996" spans="6:41">
      <c r="F996" s="31"/>
      <c r="M996" s="31"/>
      <c r="U996" s="31"/>
      <c r="AA996" s="63"/>
      <c r="AC996" s="31"/>
      <c r="AN996" s="32"/>
      <c r="AO996" s="57"/>
    </row>
    <row r="997" spans="6:41">
      <c r="F997" s="31"/>
      <c r="M997" s="31"/>
      <c r="U997" s="31"/>
      <c r="AA997" s="63"/>
      <c r="AC997" s="31"/>
      <c r="AN997" s="32"/>
      <c r="AO997" s="57"/>
    </row>
    <row r="998" spans="6:41">
      <c r="F998" s="31"/>
      <c r="M998" s="31"/>
      <c r="U998" s="31"/>
      <c r="AA998" s="63"/>
      <c r="AC998" s="31"/>
      <c r="AN998" s="32"/>
      <c r="AO998" s="57"/>
    </row>
    <row r="999" spans="6:41">
      <c r="F999" s="31"/>
      <c r="M999" s="31"/>
      <c r="U999" s="31"/>
      <c r="AA999" s="63"/>
      <c r="AC999" s="31"/>
      <c r="AN999" s="32"/>
      <c r="AO999" s="57"/>
    </row>
    <row r="1000" spans="6:41">
      <c r="F1000" s="31"/>
      <c r="M1000" s="31"/>
      <c r="U1000" s="31"/>
      <c r="AA1000" s="63"/>
      <c r="AC1000" s="31"/>
      <c r="AN1000" s="32"/>
      <c r="AO1000" s="5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T1000"/>
  <sheetViews>
    <sheetView tabSelected="1" workbookViewId="0">
      <pane xSplit="7" ySplit="1" topLeftCell="H2" activePane="bottomRight" state="frozen"/>
      <selection pane="topRight" activeCell="H1" sqref="H1"/>
      <selection pane="bottomLeft" activeCell="A2" sqref="A2"/>
      <selection pane="bottomRight" activeCell="AI9" sqref="AI9"/>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70"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spans="1:72">
      <c r="A2" s="1">
        <v>1</v>
      </c>
      <c r="B2" s="1" t="s">
        <v>174</v>
      </c>
      <c r="C2" s="1" t="s">
        <v>179</v>
      </c>
      <c r="D2" s="1">
        <v>172176268</v>
      </c>
      <c r="E2" s="1" t="s">
        <v>175</v>
      </c>
      <c r="F2" s="45" t="s">
        <v>114</v>
      </c>
      <c r="G2" s="1">
        <v>2</v>
      </c>
      <c r="H2" s="1" t="s">
        <v>183</v>
      </c>
      <c r="I2" s="1" t="s">
        <v>220</v>
      </c>
      <c r="J2" s="1" t="s">
        <v>232</v>
      </c>
      <c r="K2" s="1" t="s">
        <v>189</v>
      </c>
      <c r="M2" s="31"/>
      <c r="N2" s="1">
        <v>2</v>
      </c>
      <c r="O2" s="1">
        <v>0</v>
      </c>
      <c r="P2" s="1">
        <v>0</v>
      </c>
      <c r="Q2" s="1">
        <v>3</v>
      </c>
      <c r="R2" s="1">
        <v>0</v>
      </c>
      <c r="S2" s="1" t="s">
        <v>179</v>
      </c>
      <c r="T2" s="1">
        <v>1</v>
      </c>
      <c r="U2" s="45">
        <v>3</v>
      </c>
      <c r="W2" s="63"/>
      <c r="AA2" s="63"/>
      <c r="AC2" s="31"/>
      <c r="AD2" s="1">
        <v>66</v>
      </c>
      <c r="AE2" s="1">
        <v>24.4</v>
      </c>
      <c r="AF2" s="1">
        <v>300</v>
      </c>
      <c r="AG2" s="1">
        <v>7</v>
      </c>
      <c r="AH2" s="1">
        <v>31</v>
      </c>
      <c r="AI2" s="1">
        <v>820</v>
      </c>
      <c r="AJ2" s="1" t="s">
        <v>180</v>
      </c>
      <c r="AK2" s="1">
        <v>20</v>
      </c>
      <c r="AM2" s="1">
        <v>1</v>
      </c>
      <c r="AN2" s="43" t="s">
        <v>342</v>
      </c>
      <c r="AO2" s="84" t="s">
        <v>203</v>
      </c>
      <c r="AP2" s="1">
        <v>1</v>
      </c>
    </row>
    <row r="3" spans="1:72">
      <c r="A3" s="1">
        <v>2</v>
      </c>
      <c r="B3" s="1" t="s">
        <v>174</v>
      </c>
      <c r="C3" s="1" t="s">
        <v>179</v>
      </c>
      <c r="D3" s="1">
        <v>172176269</v>
      </c>
      <c r="E3" s="35" t="s">
        <v>175</v>
      </c>
      <c r="F3" s="45" t="s">
        <v>114</v>
      </c>
      <c r="G3" s="1">
        <v>2</v>
      </c>
      <c r="H3" s="1" t="s">
        <v>183</v>
      </c>
      <c r="I3" s="1" t="s">
        <v>220</v>
      </c>
      <c r="J3" s="1" t="s">
        <v>232</v>
      </c>
      <c r="K3" s="1" t="s">
        <v>189</v>
      </c>
      <c r="M3" s="31"/>
      <c r="O3" s="1">
        <v>0</v>
      </c>
      <c r="P3" s="1">
        <v>0</v>
      </c>
      <c r="Q3" s="1">
        <v>2</v>
      </c>
      <c r="R3" s="1">
        <v>0</v>
      </c>
      <c r="S3" s="1" t="s">
        <v>179</v>
      </c>
      <c r="T3" s="1">
        <v>2</v>
      </c>
      <c r="U3" s="45">
        <v>3</v>
      </c>
      <c r="W3" s="63"/>
      <c r="AA3" s="65"/>
      <c r="AC3" s="31"/>
      <c r="AD3" s="1">
        <v>60</v>
      </c>
      <c r="AE3" s="1">
        <v>20.399999999999999</v>
      </c>
      <c r="AF3" s="35">
        <v>300</v>
      </c>
      <c r="AG3" s="35">
        <v>7</v>
      </c>
      <c r="AH3" s="35">
        <v>31</v>
      </c>
      <c r="AI3" s="1">
        <v>820</v>
      </c>
      <c r="AJ3" s="35" t="s">
        <v>180</v>
      </c>
      <c r="AK3" s="1">
        <v>20</v>
      </c>
      <c r="AM3" s="1">
        <v>2</v>
      </c>
      <c r="AN3" s="43" t="s">
        <v>343</v>
      </c>
      <c r="AO3" s="84" t="s">
        <v>203</v>
      </c>
      <c r="AP3" s="35">
        <v>1</v>
      </c>
    </row>
    <row r="4" spans="1:72">
      <c r="A4" s="36">
        <v>3</v>
      </c>
      <c r="B4" s="36" t="s">
        <v>174</v>
      </c>
      <c r="C4" s="36" t="s">
        <v>157</v>
      </c>
      <c r="D4" s="36">
        <v>283105232</v>
      </c>
      <c r="E4" s="85" t="s">
        <v>194</v>
      </c>
      <c r="F4" s="58" t="s">
        <v>98</v>
      </c>
      <c r="G4" s="36">
        <v>1</v>
      </c>
      <c r="H4" s="36" t="s">
        <v>22</v>
      </c>
      <c r="I4" s="37"/>
      <c r="J4" s="36" t="s">
        <v>176</v>
      </c>
      <c r="K4" s="36" t="s">
        <v>177</v>
      </c>
      <c r="L4" s="36" t="s">
        <v>178</v>
      </c>
      <c r="M4" s="39"/>
      <c r="N4" s="37"/>
      <c r="O4" s="36">
        <v>0</v>
      </c>
      <c r="P4" s="36">
        <v>4</v>
      </c>
      <c r="Q4" s="36">
        <v>1</v>
      </c>
      <c r="R4" s="36">
        <v>1</v>
      </c>
      <c r="S4" s="36" t="s">
        <v>179</v>
      </c>
      <c r="T4" s="36">
        <v>2</v>
      </c>
      <c r="U4" s="39"/>
      <c r="V4" s="37"/>
      <c r="W4" s="64"/>
      <c r="X4" s="37"/>
      <c r="Y4" s="36"/>
      <c r="Z4" s="37"/>
      <c r="AA4" s="64"/>
      <c r="AB4" s="37"/>
      <c r="AC4" s="39"/>
      <c r="AD4" s="36">
        <v>92</v>
      </c>
      <c r="AE4" s="36">
        <v>27.6</v>
      </c>
      <c r="AF4" s="40">
        <v>300</v>
      </c>
      <c r="AG4" s="40">
        <v>7</v>
      </c>
      <c r="AH4" s="40">
        <v>31</v>
      </c>
      <c r="AI4" s="36">
        <v>920</v>
      </c>
      <c r="AJ4" s="40" t="s">
        <v>180</v>
      </c>
      <c r="AK4" s="36">
        <v>8</v>
      </c>
      <c r="AL4" s="37"/>
      <c r="AM4" s="37"/>
      <c r="AN4" s="41"/>
      <c r="AO4" s="86"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288029964</v>
      </c>
      <c r="E5" s="46" t="s">
        <v>238</v>
      </c>
      <c r="F5" s="45" t="s">
        <v>87</v>
      </c>
      <c r="G5" s="1">
        <v>1</v>
      </c>
      <c r="H5" s="1" t="s">
        <v>186</v>
      </c>
      <c r="I5" s="1" t="s">
        <v>22</v>
      </c>
      <c r="J5" s="1" t="s">
        <v>344</v>
      </c>
      <c r="K5" s="1" t="s">
        <v>177</v>
      </c>
      <c r="L5" s="1" t="s">
        <v>178</v>
      </c>
      <c r="M5" s="31"/>
      <c r="O5" s="1">
        <v>0</v>
      </c>
      <c r="P5" s="1">
        <v>5</v>
      </c>
      <c r="Q5" s="1">
        <v>3</v>
      </c>
      <c r="R5" s="1">
        <v>4</v>
      </c>
      <c r="S5" s="1" t="s">
        <v>155</v>
      </c>
      <c r="T5" s="1">
        <v>3</v>
      </c>
      <c r="U5" s="31"/>
      <c r="W5" s="63"/>
      <c r="AA5" s="63"/>
      <c r="AC5" s="31"/>
      <c r="AD5" s="1">
        <v>59</v>
      </c>
      <c r="AE5" s="1">
        <v>10.8</v>
      </c>
      <c r="AF5" s="35">
        <v>300</v>
      </c>
      <c r="AG5" s="35">
        <v>7</v>
      </c>
      <c r="AH5" s="35">
        <v>31</v>
      </c>
      <c r="AI5" s="1">
        <v>950</v>
      </c>
      <c r="AJ5" s="35" t="s">
        <v>180</v>
      </c>
      <c r="AK5" s="1">
        <v>14</v>
      </c>
      <c r="AM5" s="1">
        <v>3</v>
      </c>
      <c r="AN5" s="43" t="s">
        <v>345</v>
      </c>
      <c r="AO5" s="84" t="s">
        <v>157</v>
      </c>
      <c r="AP5" s="35">
        <v>1</v>
      </c>
    </row>
    <row r="6" spans="1:72">
      <c r="A6" s="1">
        <v>5</v>
      </c>
      <c r="B6" s="1" t="s">
        <v>174</v>
      </c>
      <c r="C6" s="1" t="s">
        <v>179</v>
      </c>
      <c r="D6" s="1">
        <v>290077853</v>
      </c>
      <c r="E6" s="1" t="s">
        <v>210</v>
      </c>
      <c r="F6" s="45" t="s">
        <v>68</v>
      </c>
      <c r="G6" s="1">
        <v>2</v>
      </c>
      <c r="H6" s="1" t="s">
        <v>183</v>
      </c>
      <c r="J6" s="1" t="s">
        <v>200</v>
      </c>
      <c r="K6" s="1" t="s">
        <v>189</v>
      </c>
      <c r="M6" s="31"/>
      <c r="O6" s="1">
        <v>0</v>
      </c>
      <c r="P6" s="1">
        <v>0</v>
      </c>
      <c r="Q6" s="1">
        <v>1</v>
      </c>
      <c r="R6" s="1">
        <v>3</v>
      </c>
      <c r="S6" s="1" t="s">
        <v>179</v>
      </c>
      <c r="T6" s="1">
        <v>0</v>
      </c>
      <c r="U6" s="45">
        <v>3</v>
      </c>
      <c r="W6" s="63"/>
      <c r="AA6" s="63"/>
      <c r="AC6" s="31"/>
      <c r="AD6" s="1">
        <v>64</v>
      </c>
      <c r="AF6" s="35">
        <v>300</v>
      </c>
      <c r="AG6" s="35">
        <v>7</v>
      </c>
      <c r="AH6" s="35">
        <v>31</v>
      </c>
      <c r="AI6" s="1">
        <v>11</v>
      </c>
      <c r="AJ6" s="35" t="s">
        <v>180</v>
      </c>
      <c r="AK6" s="1">
        <v>21</v>
      </c>
      <c r="AM6" s="1">
        <v>4</v>
      </c>
      <c r="AN6" s="43" t="s">
        <v>346</v>
      </c>
      <c r="AO6" s="84" t="s">
        <v>215</v>
      </c>
      <c r="AP6" s="35">
        <v>1</v>
      </c>
    </row>
    <row r="7" spans="1:72">
      <c r="A7" s="36">
        <v>6</v>
      </c>
      <c r="B7" s="36" t="s">
        <v>174</v>
      </c>
      <c r="C7" s="36" t="s">
        <v>179</v>
      </c>
      <c r="D7" s="36">
        <v>172176274</v>
      </c>
      <c r="E7" s="47" t="s">
        <v>347</v>
      </c>
      <c r="F7" s="58" t="s">
        <v>112</v>
      </c>
      <c r="G7" s="36">
        <v>2</v>
      </c>
      <c r="H7" s="36" t="s">
        <v>183</v>
      </c>
      <c r="I7" s="37"/>
      <c r="J7" s="36" t="s">
        <v>200</v>
      </c>
      <c r="K7" s="36" t="s">
        <v>189</v>
      </c>
      <c r="L7" s="37"/>
      <c r="M7" s="39"/>
      <c r="N7" s="37"/>
      <c r="O7" s="36">
        <v>0</v>
      </c>
      <c r="P7" s="36">
        <v>0</v>
      </c>
      <c r="Q7" s="36">
        <v>1</v>
      </c>
      <c r="R7" s="36">
        <v>1</v>
      </c>
      <c r="S7" s="36" t="s">
        <v>179</v>
      </c>
      <c r="T7" s="36">
        <v>1</v>
      </c>
      <c r="U7" s="58">
        <v>3</v>
      </c>
      <c r="V7" s="37"/>
      <c r="W7" s="64"/>
      <c r="X7" s="37"/>
      <c r="Y7" s="37"/>
      <c r="Z7" s="37"/>
      <c r="AA7" s="64"/>
      <c r="AB7" s="37"/>
      <c r="AC7" s="39"/>
      <c r="AD7" s="36">
        <v>71</v>
      </c>
      <c r="AE7" s="36">
        <v>20.8</v>
      </c>
      <c r="AF7" s="40">
        <v>300</v>
      </c>
      <c r="AG7" s="40">
        <v>7</v>
      </c>
      <c r="AH7" s="40">
        <v>31</v>
      </c>
      <c r="AI7" s="36">
        <v>1150</v>
      </c>
      <c r="AJ7" s="40" t="s">
        <v>180</v>
      </c>
      <c r="AK7" s="36">
        <v>21</v>
      </c>
      <c r="AL7" s="37"/>
      <c r="AM7" s="37"/>
      <c r="AN7" s="41"/>
      <c r="AO7" s="86" t="s">
        <v>203</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1">
        <v>7</v>
      </c>
      <c r="B8" s="11" t="s">
        <v>174</v>
      </c>
      <c r="C8" s="11" t="s">
        <v>157</v>
      </c>
      <c r="D8" s="11">
        <v>271150871</v>
      </c>
      <c r="E8" s="87" t="s">
        <v>194</v>
      </c>
      <c r="F8" s="59" t="s">
        <v>98</v>
      </c>
      <c r="G8" s="11">
        <v>1</v>
      </c>
      <c r="H8" s="11" t="s">
        <v>22</v>
      </c>
      <c r="I8" s="12"/>
      <c r="J8" s="11" t="s">
        <v>176</v>
      </c>
      <c r="K8" s="11" t="s">
        <v>177</v>
      </c>
      <c r="L8" s="11" t="s">
        <v>178</v>
      </c>
      <c r="M8" s="49"/>
      <c r="N8" s="12"/>
      <c r="O8" s="11">
        <v>0</v>
      </c>
      <c r="P8" s="11">
        <v>3</v>
      </c>
      <c r="Q8" s="11">
        <v>1</v>
      </c>
      <c r="R8" s="11">
        <v>0</v>
      </c>
      <c r="S8" s="11" t="s">
        <v>179</v>
      </c>
      <c r="T8" s="11">
        <v>2</v>
      </c>
      <c r="U8" s="49"/>
      <c r="V8" s="11"/>
      <c r="W8" s="66"/>
      <c r="X8" s="11"/>
      <c r="Y8" s="12"/>
      <c r="Z8" s="12"/>
      <c r="AA8" s="66"/>
      <c r="AB8" s="12"/>
      <c r="AC8" s="49"/>
      <c r="AD8" s="11">
        <v>90</v>
      </c>
      <c r="AE8" s="11">
        <v>30.5</v>
      </c>
      <c r="AF8" s="50">
        <v>300</v>
      </c>
      <c r="AG8" s="50">
        <v>7</v>
      </c>
      <c r="AH8" s="50">
        <v>31</v>
      </c>
      <c r="AI8" s="11">
        <v>1220</v>
      </c>
      <c r="AJ8" s="50" t="s">
        <v>180</v>
      </c>
      <c r="AK8" s="11">
        <v>20</v>
      </c>
      <c r="AL8" s="12"/>
      <c r="AM8" s="11">
        <v>5</v>
      </c>
      <c r="AN8" s="54" t="s">
        <v>348</v>
      </c>
      <c r="AO8" s="88" t="s">
        <v>157</v>
      </c>
      <c r="AP8" s="50">
        <v>1</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1:72">
      <c r="A9" s="1">
        <v>1</v>
      </c>
      <c r="B9" s="1" t="s">
        <v>207</v>
      </c>
      <c r="C9" s="1" t="s">
        <v>179</v>
      </c>
      <c r="D9" s="1">
        <v>172176266</v>
      </c>
      <c r="E9" s="35" t="s">
        <v>175</v>
      </c>
      <c r="F9" s="45" t="s">
        <v>114</v>
      </c>
      <c r="G9" s="1">
        <v>2</v>
      </c>
      <c r="H9" s="1" t="s">
        <v>183</v>
      </c>
      <c r="J9" s="1" t="s">
        <v>232</v>
      </c>
      <c r="M9" s="31"/>
      <c r="O9" s="1">
        <v>0</v>
      </c>
      <c r="P9" s="1">
        <v>0</v>
      </c>
      <c r="Q9" s="1">
        <v>0</v>
      </c>
      <c r="R9" s="1">
        <v>0</v>
      </c>
      <c r="S9" s="1" t="s">
        <v>179</v>
      </c>
      <c r="T9" s="1">
        <v>1</v>
      </c>
      <c r="U9" s="45">
        <v>3</v>
      </c>
      <c r="V9" s="35" t="s">
        <v>183</v>
      </c>
      <c r="W9" s="63"/>
      <c r="AA9" s="63"/>
      <c r="AC9" s="31"/>
      <c r="AD9" s="1">
        <v>65</v>
      </c>
      <c r="AE9" s="1">
        <v>23.8</v>
      </c>
      <c r="AF9" s="35">
        <v>300</v>
      </c>
      <c r="AG9" s="35">
        <v>7</v>
      </c>
      <c r="AH9" s="35">
        <v>31</v>
      </c>
      <c r="AI9" s="1">
        <v>830</v>
      </c>
      <c r="AJ9" s="35" t="s">
        <v>180</v>
      </c>
      <c r="AK9" s="1">
        <v>20</v>
      </c>
      <c r="AN9" s="32"/>
      <c r="AO9" s="84" t="s">
        <v>203</v>
      </c>
      <c r="AP9" s="1">
        <v>2</v>
      </c>
    </row>
    <row r="10" spans="1:72">
      <c r="A10" s="1">
        <v>2</v>
      </c>
      <c r="B10" s="1" t="s">
        <v>207</v>
      </c>
      <c r="C10" s="1" t="s">
        <v>179</v>
      </c>
      <c r="D10" s="1">
        <v>172176270</v>
      </c>
      <c r="E10" s="35" t="s">
        <v>175</v>
      </c>
      <c r="F10" s="45" t="s">
        <v>114</v>
      </c>
      <c r="G10" s="1">
        <v>2</v>
      </c>
      <c r="H10" s="1" t="s">
        <v>183</v>
      </c>
      <c r="J10" s="1" t="s">
        <v>232</v>
      </c>
      <c r="M10" s="31"/>
      <c r="O10" s="1">
        <v>0</v>
      </c>
      <c r="P10" s="1">
        <v>0</v>
      </c>
      <c r="Q10" s="1">
        <v>1</v>
      </c>
      <c r="R10" s="1">
        <v>0</v>
      </c>
      <c r="S10" s="1" t="s">
        <v>179</v>
      </c>
      <c r="T10" s="1">
        <v>1</v>
      </c>
      <c r="U10" s="45">
        <v>3</v>
      </c>
      <c r="V10" s="35" t="s">
        <v>183</v>
      </c>
      <c r="W10" s="63"/>
      <c r="AA10" s="89" t="s">
        <v>183</v>
      </c>
      <c r="AC10" s="31"/>
      <c r="AD10" s="1">
        <v>61</v>
      </c>
      <c r="AE10" s="1">
        <v>21.2</v>
      </c>
      <c r="AF10" s="35">
        <v>300</v>
      </c>
      <c r="AG10" s="35">
        <v>7</v>
      </c>
      <c r="AH10" s="35">
        <v>31</v>
      </c>
      <c r="AI10" s="1">
        <v>830</v>
      </c>
      <c r="AJ10" s="35" t="s">
        <v>180</v>
      </c>
      <c r="AK10" s="1">
        <v>20</v>
      </c>
      <c r="AM10" s="1">
        <v>2</v>
      </c>
      <c r="AN10" s="43" t="s">
        <v>349</v>
      </c>
      <c r="AO10" s="84" t="s">
        <v>203</v>
      </c>
      <c r="AP10" s="35">
        <v>2</v>
      </c>
    </row>
    <row r="11" spans="1:72">
      <c r="A11" s="36">
        <v>3</v>
      </c>
      <c r="B11" s="36" t="s">
        <v>207</v>
      </c>
      <c r="C11" s="36" t="s">
        <v>179</v>
      </c>
      <c r="D11" s="36">
        <v>288029979</v>
      </c>
      <c r="E11" s="47" t="s">
        <v>210</v>
      </c>
      <c r="F11" s="58" t="s">
        <v>68</v>
      </c>
      <c r="G11" s="36">
        <v>5</v>
      </c>
      <c r="H11" s="36" t="s">
        <v>22</v>
      </c>
      <c r="I11" s="37"/>
      <c r="J11" s="36" t="s">
        <v>182</v>
      </c>
      <c r="K11" s="37"/>
      <c r="L11" s="37"/>
      <c r="M11" s="39"/>
      <c r="N11" s="36">
        <v>6</v>
      </c>
      <c r="O11" s="37"/>
      <c r="P11" s="37"/>
      <c r="Q11" s="37"/>
      <c r="R11" s="36">
        <v>0</v>
      </c>
      <c r="S11" s="36" t="s">
        <v>179</v>
      </c>
      <c r="T11" s="36">
        <v>1</v>
      </c>
      <c r="U11" s="39"/>
      <c r="V11" s="37"/>
      <c r="W11" s="64"/>
      <c r="X11" s="37"/>
      <c r="Y11" s="40" t="s">
        <v>177</v>
      </c>
      <c r="Z11" s="37"/>
      <c r="AA11" s="64"/>
      <c r="AB11" s="37"/>
      <c r="AC11" s="39"/>
      <c r="AD11" s="37"/>
      <c r="AE11" s="37"/>
      <c r="AF11" s="40">
        <v>300</v>
      </c>
      <c r="AG11" s="40">
        <v>7</v>
      </c>
      <c r="AH11" s="40">
        <v>31</v>
      </c>
      <c r="AI11" s="36">
        <v>9</v>
      </c>
      <c r="AJ11" s="40" t="s">
        <v>180</v>
      </c>
      <c r="AK11" s="36">
        <v>21</v>
      </c>
      <c r="AL11" s="37"/>
      <c r="AM11" s="36">
        <v>3</v>
      </c>
      <c r="AN11" s="44" t="s">
        <v>350</v>
      </c>
      <c r="AO11" s="86">
        <v>0</v>
      </c>
      <c r="AP11" s="40">
        <v>2</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spans="1:72">
      <c r="A12" s="1">
        <v>4</v>
      </c>
      <c r="B12" s="1" t="s">
        <v>207</v>
      </c>
      <c r="C12" s="1" t="s">
        <v>179</v>
      </c>
      <c r="D12" s="1">
        <v>288029981</v>
      </c>
      <c r="E12" s="35" t="s">
        <v>238</v>
      </c>
      <c r="F12" s="45" t="s">
        <v>87</v>
      </c>
      <c r="G12" s="1">
        <v>2</v>
      </c>
      <c r="H12" s="1" t="s">
        <v>183</v>
      </c>
      <c r="J12" s="1" t="s">
        <v>232</v>
      </c>
      <c r="M12" s="31"/>
      <c r="N12" s="1">
        <v>2</v>
      </c>
      <c r="O12" s="1">
        <v>0</v>
      </c>
      <c r="P12" s="1">
        <v>0</v>
      </c>
      <c r="Q12" s="1">
        <v>1</v>
      </c>
      <c r="R12" s="1">
        <v>0</v>
      </c>
      <c r="S12" s="1" t="s">
        <v>179</v>
      </c>
      <c r="T12" s="1">
        <v>1</v>
      </c>
      <c r="U12" s="45">
        <v>3</v>
      </c>
      <c r="W12" s="63"/>
      <c r="AA12" s="63"/>
      <c r="AC12" s="31"/>
      <c r="AD12" s="1">
        <v>60</v>
      </c>
      <c r="AE12" s="1">
        <v>10.4</v>
      </c>
      <c r="AF12" s="35">
        <v>300</v>
      </c>
      <c r="AG12" s="35">
        <v>7</v>
      </c>
      <c r="AH12" s="35">
        <v>31</v>
      </c>
      <c r="AI12" s="1">
        <v>950</v>
      </c>
      <c r="AJ12" s="35" t="s">
        <v>180</v>
      </c>
      <c r="AK12" s="1">
        <v>14</v>
      </c>
      <c r="AM12" s="1">
        <v>4</v>
      </c>
      <c r="AN12" s="43" t="s">
        <v>351</v>
      </c>
      <c r="AO12" s="84">
        <v>0</v>
      </c>
      <c r="AP12" s="35">
        <v>2</v>
      </c>
    </row>
    <row r="13" spans="1:72">
      <c r="A13" s="1">
        <v>5</v>
      </c>
      <c r="B13" s="1" t="s">
        <v>207</v>
      </c>
      <c r="C13" s="1" t="s">
        <v>179</v>
      </c>
      <c r="D13" s="1">
        <v>172176272</v>
      </c>
      <c r="E13" s="35" t="s">
        <v>175</v>
      </c>
      <c r="F13" s="45" t="s">
        <v>114</v>
      </c>
      <c r="G13" s="1">
        <v>2</v>
      </c>
      <c r="H13" s="1" t="s">
        <v>183</v>
      </c>
      <c r="J13" s="1" t="s">
        <v>232</v>
      </c>
      <c r="M13" s="31"/>
      <c r="O13" s="1">
        <v>0</v>
      </c>
      <c r="P13" s="1">
        <v>0</v>
      </c>
      <c r="Q13" s="1">
        <v>1</v>
      </c>
      <c r="R13" s="1">
        <v>0</v>
      </c>
      <c r="S13" s="1" t="s">
        <v>179</v>
      </c>
      <c r="T13" s="1">
        <v>1</v>
      </c>
      <c r="U13" s="45">
        <v>3</v>
      </c>
      <c r="W13" s="63"/>
      <c r="AA13" s="63"/>
      <c r="AC13" s="31"/>
      <c r="AD13" s="1">
        <v>59</v>
      </c>
      <c r="AE13" s="1">
        <v>19.600000000000001</v>
      </c>
      <c r="AF13" s="35">
        <v>300</v>
      </c>
      <c r="AG13" s="35">
        <v>7</v>
      </c>
      <c r="AH13" s="35">
        <v>31</v>
      </c>
      <c r="AI13" s="1">
        <v>1110</v>
      </c>
      <c r="AJ13" s="35" t="s">
        <v>180</v>
      </c>
      <c r="AK13" s="1">
        <v>21</v>
      </c>
      <c r="AN13" s="32"/>
      <c r="AO13" s="84" t="s">
        <v>203</v>
      </c>
      <c r="AP13" s="35">
        <v>2</v>
      </c>
    </row>
    <row r="14" spans="1:72">
      <c r="A14" s="36">
        <v>6</v>
      </c>
      <c r="B14" s="36" t="s">
        <v>207</v>
      </c>
      <c r="C14" s="36" t="s">
        <v>189</v>
      </c>
      <c r="D14" s="37"/>
      <c r="E14" s="47" t="s">
        <v>193</v>
      </c>
      <c r="F14" s="58" t="s">
        <v>32</v>
      </c>
      <c r="G14" s="36">
        <v>5</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v>
      </c>
      <c r="AH14" s="40">
        <v>31</v>
      </c>
      <c r="AI14" s="36">
        <v>1040</v>
      </c>
      <c r="AJ14" s="40" t="s">
        <v>180</v>
      </c>
      <c r="AK14" s="36">
        <v>15</v>
      </c>
      <c r="AL14" s="37"/>
      <c r="AM14" s="37"/>
      <c r="AN14" s="41"/>
      <c r="AO14" s="86" t="s">
        <v>189</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1">
        <v>7</v>
      </c>
      <c r="B15" s="11" t="s">
        <v>207</v>
      </c>
      <c r="C15" s="11" t="s">
        <v>179</v>
      </c>
      <c r="D15" s="11">
        <v>288029982</v>
      </c>
      <c r="E15" s="53" t="s">
        <v>225</v>
      </c>
      <c r="F15" s="59" t="s">
        <v>122</v>
      </c>
      <c r="G15" s="11">
        <v>1</v>
      </c>
      <c r="H15" s="11" t="s">
        <v>22</v>
      </c>
      <c r="I15" s="12"/>
      <c r="J15" s="11" t="s">
        <v>344</v>
      </c>
      <c r="K15" s="12"/>
      <c r="L15" s="12"/>
      <c r="M15" s="49"/>
      <c r="N15" s="12"/>
      <c r="O15" s="11">
        <v>0</v>
      </c>
      <c r="P15" s="11">
        <v>4</v>
      </c>
      <c r="Q15" s="11">
        <v>1</v>
      </c>
      <c r="R15" s="11">
        <v>2</v>
      </c>
      <c r="S15" s="11" t="s">
        <v>155</v>
      </c>
      <c r="T15" s="11">
        <v>2</v>
      </c>
      <c r="U15" s="49"/>
      <c r="V15" s="50" t="s">
        <v>186</v>
      </c>
      <c r="W15" s="66"/>
      <c r="X15" s="50" t="s">
        <v>186</v>
      </c>
      <c r="Y15" s="12"/>
      <c r="Z15" s="12"/>
      <c r="AA15" s="66"/>
      <c r="AB15" s="12"/>
      <c r="AC15" s="49"/>
      <c r="AD15" s="11">
        <v>50</v>
      </c>
      <c r="AE15" s="11">
        <v>11.2</v>
      </c>
      <c r="AF15" s="50">
        <v>300</v>
      </c>
      <c r="AG15" s="50">
        <v>7</v>
      </c>
      <c r="AH15" s="50">
        <v>31</v>
      </c>
      <c r="AI15" s="11">
        <v>1220</v>
      </c>
      <c r="AJ15" s="50" t="s">
        <v>180</v>
      </c>
      <c r="AK15" s="11">
        <v>21</v>
      </c>
      <c r="AL15" s="12"/>
      <c r="AM15" s="12"/>
      <c r="AN15" s="51"/>
      <c r="AO15" s="90">
        <v>0</v>
      </c>
      <c r="AP15" s="50">
        <v>2</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227</v>
      </c>
      <c r="C16" s="1" t="s">
        <v>179</v>
      </c>
      <c r="D16" s="1">
        <v>172176267</v>
      </c>
      <c r="E16" s="35" t="s">
        <v>175</v>
      </c>
      <c r="F16" s="45" t="s">
        <v>114</v>
      </c>
      <c r="G16" s="1">
        <v>2</v>
      </c>
      <c r="H16" s="1" t="s">
        <v>155</v>
      </c>
      <c r="I16" s="1" t="s">
        <v>183</v>
      </c>
      <c r="J16" s="1" t="s">
        <v>232</v>
      </c>
      <c r="K16" s="1" t="s">
        <v>189</v>
      </c>
      <c r="M16" s="31"/>
      <c r="N16" s="1">
        <v>3</v>
      </c>
      <c r="O16" s="1">
        <v>0</v>
      </c>
      <c r="P16" s="1">
        <v>0</v>
      </c>
      <c r="Q16" s="1">
        <v>3</v>
      </c>
      <c r="R16" s="1">
        <v>0</v>
      </c>
      <c r="S16" s="1" t="s">
        <v>179</v>
      </c>
      <c r="T16" s="1">
        <v>1</v>
      </c>
      <c r="U16" s="45">
        <v>3</v>
      </c>
      <c r="W16" s="63"/>
      <c r="AA16" s="63"/>
      <c r="AC16" s="31"/>
      <c r="AD16" s="1">
        <v>66</v>
      </c>
      <c r="AE16" s="1">
        <v>24.4</v>
      </c>
      <c r="AF16" s="35">
        <v>300</v>
      </c>
      <c r="AG16" s="35">
        <v>7</v>
      </c>
      <c r="AH16" s="35">
        <v>31</v>
      </c>
      <c r="AI16" s="1">
        <v>820</v>
      </c>
      <c r="AJ16" s="35" t="s">
        <v>180</v>
      </c>
      <c r="AK16" s="1">
        <v>20</v>
      </c>
      <c r="AN16" s="32"/>
      <c r="AO16" s="84" t="s">
        <v>203</v>
      </c>
      <c r="AP16" s="1">
        <v>3</v>
      </c>
    </row>
    <row r="17" spans="1:72">
      <c r="A17" s="1">
        <v>2</v>
      </c>
      <c r="B17" s="1" t="s">
        <v>227</v>
      </c>
      <c r="C17" s="1" t="s">
        <v>157</v>
      </c>
      <c r="D17" s="1">
        <v>172176256</v>
      </c>
      <c r="E17" s="35" t="s">
        <v>175</v>
      </c>
      <c r="F17" s="45" t="s">
        <v>114</v>
      </c>
      <c r="G17" s="1">
        <v>2</v>
      </c>
      <c r="H17" s="1" t="s">
        <v>155</v>
      </c>
      <c r="I17" s="1" t="s">
        <v>183</v>
      </c>
      <c r="J17" s="1" t="s">
        <v>264</v>
      </c>
      <c r="K17" s="1" t="s">
        <v>189</v>
      </c>
      <c r="M17" s="31"/>
      <c r="N17" s="1">
        <v>3</v>
      </c>
      <c r="O17" s="1">
        <v>0</v>
      </c>
      <c r="P17" s="1">
        <v>0</v>
      </c>
      <c r="Q17" s="1">
        <v>3</v>
      </c>
      <c r="R17" s="1">
        <v>1</v>
      </c>
      <c r="S17" s="1" t="s">
        <v>179</v>
      </c>
      <c r="T17" s="1">
        <v>2</v>
      </c>
      <c r="U17" s="45">
        <v>3</v>
      </c>
      <c r="W17" s="63"/>
      <c r="AA17" s="63"/>
      <c r="AC17" s="31"/>
      <c r="AD17" s="1">
        <v>59</v>
      </c>
      <c r="AE17" s="1">
        <v>19.7</v>
      </c>
      <c r="AF17" s="35">
        <v>300</v>
      </c>
      <c r="AG17" s="35">
        <v>7</v>
      </c>
      <c r="AH17" s="35">
        <v>31</v>
      </c>
      <c r="AI17" s="1">
        <v>820</v>
      </c>
      <c r="AJ17" s="35" t="s">
        <v>180</v>
      </c>
      <c r="AK17" s="1">
        <v>20</v>
      </c>
      <c r="AN17" s="32"/>
      <c r="AO17" s="84" t="s">
        <v>157</v>
      </c>
      <c r="AP17" s="35">
        <v>3</v>
      </c>
    </row>
    <row r="18" spans="1:72">
      <c r="A18" s="36">
        <v>3</v>
      </c>
      <c r="B18" s="36" t="s">
        <v>227</v>
      </c>
      <c r="C18" s="36" t="s">
        <v>157</v>
      </c>
      <c r="D18" s="36">
        <v>172176253</v>
      </c>
      <c r="E18" s="85" t="s">
        <v>175</v>
      </c>
      <c r="F18" s="58" t="s">
        <v>114</v>
      </c>
      <c r="G18" s="36">
        <v>2</v>
      </c>
      <c r="H18" s="36" t="s">
        <v>155</v>
      </c>
      <c r="I18" s="36" t="s">
        <v>183</v>
      </c>
      <c r="J18" s="36" t="s">
        <v>264</v>
      </c>
      <c r="K18" s="36" t="s">
        <v>189</v>
      </c>
      <c r="L18" s="37"/>
      <c r="M18" s="39"/>
      <c r="N18" s="36">
        <v>3</v>
      </c>
      <c r="O18" s="36">
        <v>0</v>
      </c>
      <c r="P18" s="36">
        <v>0</v>
      </c>
      <c r="Q18" s="36">
        <v>2</v>
      </c>
      <c r="R18" s="36">
        <v>0</v>
      </c>
      <c r="S18" s="36" t="s">
        <v>179</v>
      </c>
      <c r="T18" s="36">
        <v>1</v>
      </c>
      <c r="U18" s="58">
        <v>3</v>
      </c>
      <c r="V18" s="37"/>
      <c r="W18" s="64"/>
      <c r="X18" s="37"/>
      <c r="Y18" s="37"/>
      <c r="Z18" s="37"/>
      <c r="AA18" s="64"/>
      <c r="AB18" s="37"/>
      <c r="AC18" s="39"/>
      <c r="AD18" s="36">
        <v>64</v>
      </c>
      <c r="AE18" s="36">
        <v>22.5</v>
      </c>
      <c r="AF18" s="40">
        <v>300</v>
      </c>
      <c r="AG18" s="40">
        <v>7</v>
      </c>
      <c r="AH18" s="40">
        <v>31</v>
      </c>
      <c r="AI18" s="36">
        <v>820</v>
      </c>
      <c r="AJ18" s="40" t="s">
        <v>180</v>
      </c>
      <c r="AK18" s="36">
        <v>20</v>
      </c>
      <c r="AL18" s="37"/>
      <c r="AM18" s="36">
        <v>1</v>
      </c>
      <c r="AN18" s="44" t="s">
        <v>352</v>
      </c>
      <c r="AO18" s="86" t="s">
        <v>157</v>
      </c>
      <c r="AP18" s="40">
        <v>3</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227</v>
      </c>
      <c r="C19" s="1" t="s">
        <v>179</v>
      </c>
      <c r="D19" s="1">
        <v>172176271</v>
      </c>
      <c r="E19" s="1" t="s">
        <v>206</v>
      </c>
      <c r="F19" s="45" t="s">
        <v>105</v>
      </c>
      <c r="G19" s="1">
        <v>1</v>
      </c>
      <c r="H19" s="1" t="s">
        <v>155</v>
      </c>
      <c r="I19" s="1" t="s">
        <v>22</v>
      </c>
      <c r="J19" s="1" t="s">
        <v>344</v>
      </c>
      <c r="K19" s="1" t="s">
        <v>186</v>
      </c>
      <c r="L19" s="1" t="s">
        <v>22</v>
      </c>
      <c r="M19" s="45" t="s">
        <v>1</v>
      </c>
      <c r="N19" s="1">
        <v>6</v>
      </c>
      <c r="O19" s="1">
        <v>2</v>
      </c>
      <c r="P19" s="1">
        <v>0</v>
      </c>
      <c r="Q19" s="1">
        <v>1</v>
      </c>
      <c r="R19" s="1">
        <v>0</v>
      </c>
      <c r="S19" s="1" t="s">
        <v>155</v>
      </c>
      <c r="T19" s="1">
        <v>3</v>
      </c>
      <c r="U19" s="31"/>
      <c r="W19" s="63"/>
      <c r="AA19" s="63"/>
      <c r="AC19" s="31"/>
      <c r="AD19" s="1">
        <v>81</v>
      </c>
      <c r="AE19" s="1">
        <v>26</v>
      </c>
      <c r="AF19" s="35">
        <v>300</v>
      </c>
      <c r="AG19" s="35">
        <v>7</v>
      </c>
      <c r="AH19" s="35">
        <v>31</v>
      </c>
      <c r="AI19" s="1">
        <v>920</v>
      </c>
      <c r="AJ19" s="35" t="s">
        <v>180</v>
      </c>
      <c r="AK19" s="1">
        <v>6</v>
      </c>
      <c r="AM19" s="1">
        <v>2</v>
      </c>
      <c r="AN19" s="43" t="s">
        <v>353</v>
      </c>
      <c r="AO19" s="84" t="s">
        <v>203</v>
      </c>
      <c r="AP19" s="35">
        <v>3</v>
      </c>
    </row>
    <row r="20" spans="1:72">
      <c r="A20" s="1">
        <v>5</v>
      </c>
      <c r="B20" s="1" t="s">
        <v>227</v>
      </c>
      <c r="C20" s="1" t="s">
        <v>179</v>
      </c>
      <c r="D20" s="1">
        <v>288029980</v>
      </c>
      <c r="E20" s="35" t="s">
        <v>238</v>
      </c>
      <c r="F20" s="45" t="s">
        <v>87</v>
      </c>
      <c r="G20" s="1">
        <v>2</v>
      </c>
      <c r="H20" s="1" t="s">
        <v>155</v>
      </c>
      <c r="J20" s="1" t="s">
        <v>232</v>
      </c>
      <c r="K20" s="1" t="s">
        <v>189</v>
      </c>
      <c r="M20" s="31"/>
      <c r="N20" s="1">
        <v>4</v>
      </c>
      <c r="O20" s="1">
        <v>0</v>
      </c>
      <c r="P20" s="1">
        <v>0</v>
      </c>
      <c r="Q20" s="1">
        <v>1</v>
      </c>
      <c r="R20" s="1">
        <v>0</v>
      </c>
      <c r="S20" s="1" t="s">
        <v>179</v>
      </c>
      <c r="T20" s="1">
        <v>1</v>
      </c>
      <c r="U20" s="45">
        <v>3</v>
      </c>
      <c r="W20" s="63"/>
      <c r="AA20" s="63"/>
      <c r="AC20" s="31"/>
      <c r="AD20" s="1">
        <v>63</v>
      </c>
      <c r="AE20" s="1">
        <v>10.7</v>
      </c>
      <c r="AF20" s="35">
        <v>300</v>
      </c>
      <c r="AG20" s="35">
        <v>7</v>
      </c>
      <c r="AH20" s="35">
        <v>31</v>
      </c>
      <c r="AI20" s="1">
        <v>950</v>
      </c>
      <c r="AJ20" s="35" t="s">
        <v>180</v>
      </c>
      <c r="AK20" s="1">
        <v>10</v>
      </c>
      <c r="AN20" s="32"/>
      <c r="AO20" s="84">
        <v>0</v>
      </c>
      <c r="AP20" s="35">
        <v>3</v>
      </c>
    </row>
    <row r="21" spans="1:72">
      <c r="A21" s="36">
        <v>6</v>
      </c>
      <c r="B21" s="36" t="s">
        <v>227</v>
      </c>
      <c r="C21" s="36" t="s">
        <v>157</v>
      </c>
      <c r="D21" s="36">
        <v>291032203</v>
      </c>
      <c r="E21" s="85" t="s">
        <v>238</v>
      </c>
      <c r="F21" s="58" t="s">
        <v>87</v>
      </c>
      <c r="G21" s="36">
        <v>1</v>
      </c>
      <c r="H21" s="36" t="s">
        <v>155</v>
      </c>
      <c r="I21" s="36" t="s">
        <v>22</v>
      </c>
      <c r="J21" s="36" t="s">
        <v>344</v>
      </c>
      <c r="K21" s="36" t="s">
        <v>189</v>
      </c>
      <c r="L21" s="37"/>
      <c r="M21" s="39"/>
      <c r="N21" s="36">
        <v>6</v>
      </c>
      <c r="O21" s="36">
        <v>0</v>
      </c>
      <c r="P21" s="36">
        <v>0</v>
      </c>
      <c r="Q21" s="36">
        <v>3</v>
      </c>
      <c r="R21" s="36">
        <v>4</v>
      </c>
      <c r="S21" s="36" t="s">
        <v>155</v>
      </c>
      <c r="T21" s="36">
        <v>1</v>
      </c>
      <c r="U21" s="39"/>
      <c r="V21" s="37"/>
      <c r="W21" s="64"/>
      <c r="X21" s="37"/>
      <c r="Y21" s="37"/>
      <c r="Z21" s="37"/>
      <c r="AA21" s="64"/>
      <c r="AB21" s="37"/>
      <c r="AC21" s="39"/>
      <c r="AD21" s="36">
        <v>59</v>
      </c>
      <c r="AE21" s="36">
        <v>11.5</v>
      </c>
      <c r="AF21" s="40">
        <v>300</v>
      </c>
      <c r="AG21" s="40">
        <v>7</v>
      </c>
      <c r="AH21" s="40">
        <v>31</v>
      </c>
      <c r="AI21" s="36">
        <v>950</v>
      </c>
      <c r="AJ21" s="40" t="s">
        <v>180</v>
      </c>
      <c r="AK21" s="36">
        <v>14</v>
      </c>
      <c r="AL21" s="37"/>
      <c r="AM21" s="36">
        <v>3</v>
      </c>
      <c r="AN21" s="44" t="s">
        <v>354</v>
      </c>
      <c r="AO21" s="86"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1">
        <v>7</v>
      </c>
      <c r="B22" s="11" t="s">
        <v>227</v>
      </c>
      <c r="C22" s="11" t="s">
        <v>157</v>
      </c>
      <c r="D22" s="11">
        <v>172176259</v>
      </c>
      <c r="E22" s="87" t="s">
        <v>175</v>
      </c>
      <c r="F22" s="59" t="s">
        <v>114</v>
      </c>
      <c r="G22" s="11">
        <v>2</v>
      </c>
      <c r="H22" s="11" t="s">
        <v>155</v>
      </c>
      <c r="I22" s="11" t="s">
        <v>183</v>
      </c>
      <c r="J22" s="11" t="s">
        <v>182</v>
      </c>
      <c r="K22" s="11" t="s">
        <v>189</v>
      </c>
      <c r="L22" s="12"/>
      <c r="M22" s="49"/>
      <c r="N22" s="11">
        <v>3</v>
      </c>
      <c r="O22" s="11">
        <v>0</v>
      </c>
      <c r="P22" s="11">
        <v>0</v>
      </c>
      <c r="Q22" s="11">
        <v>2</v>
      </c>
      <c r="R22" s="11">
        <v>3</v>
      </c>
      <c r="S22" s="11" t="s">
        <v>179</v>
      </c>
      <c r="T22" s="11">
        <v>2</v>
      </c>
      <c r="U22" s="59">
        <v>2</v>
      </c>
      <c r="V22" s="12"/>
      <c r="W22" s="66"/>
      <c r="X22" s="12"/>
      <c r="Y22" s="12"/>
      <c r="Z22" s="12"/>
      <c r="AA22" s="66"/>
      <c r="AB22" s="12"/>
      <c r="AC22" s="49"/>
      <c r="AD22" s="11">
        <v>64</v>
      </c>
      <c r="AE22" s="11">
        <v>21.7</v>
      </c>
      <c r="AF22" s="50">
        <v>300</v>
      </c>
      <c r="AG22" s="50">
        <v>7</v>
      </c>
      <c r="AH22" s="50">
        <v>31</v>
      </c>
      <c r="AI22" s="11">
        <v>1150</v>
      </c>
      <c r="AJ22" s="50" t="s">
        <v>180</v>
      </c>
      <c r="AK22" s="11">
        <v>8</v>
      </c>
      <c r="AL22" s="12"/>
      <c r="AM22" s="12"/>
      <c r="AN22" s="51"/>
      <c r="AO22" s="88" t="s">
        <v>157</v>
      </c>
      <c r="AP22" s="50">
        <v>3</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157</v>
      </c>
      <c r="D23" s="1">
        <v>135291879</v>
      </c>
      <c r="E23" s="1" t="s">
        <v>181</v>
      </c>
      <c r="F23" s="45" t="s">
        <v>115</v>
      </c>
      <c r="G23" s="1">
        <v>2</v>
      </c>
      <c r="H23" s="1" t="s">
        <v>183</v>
      </c>
      <c r="J23" s="1" t="s">
        <v>200</v>
      </c>
      <c r="K23" s="1" t="s">
        <v>189</v>
      </c>
      <c r="M23" s="31"/>
      <c r="O23" s="1">
        <v>0</v>
      </c>
      <c r="P23" s="1">
        <v>0</v>
      </c>
      <c r="Q23" s="1">
        <v>1</v>
      </c>
      <c r="R23" s="1">
        <v>3</v>
      </c>
      <c r="S23" s="1" t="s">
        <v>183</v>
      </c>
      <c r="T23" s="1">
        <v>1</v>
      </c>
      <c r="U23" s="31"/>
      <c r="W23" s="63"/>
      <c r="AA23" s="63"/>
      <c r="AC23" s="31"/>
      <c r="AD23" s="1">
        <v>83</v>
      </c>
      <c r="AE23" s="1">
        <v>39</v>
      </c>
      <c r="AF23" s="35">
        <v>300</v>
      </c>
      <c r="AG23" s="35">
        <v>7</v>
      </c>
      <c r="AH23" s="35">
        <v>31</v>
      </c>
      <c r="AI23" s="1">
        <v>720</v>
      </c>
      <c r="AJ23" s="35" t="s">
        <v>180</v>
      </c>
      <c r="AK23" s="1">
        <v>15</v>
      </c>
      <c r="AN23" s="32"/>
      <c r="AO23" s="91" t="s">
        <v>157</v>
      </c>
      <c r="AP23" s="1">
        <v>4</v>
      </c>
    </row>
    <row r="24" spans="1:72">
      <c r="A24" s="1">
        <v>2</v>
      </c>
      <c r="B24" s="1" t="s">
        <v>355</v>
      </c>
      <c r="C24" s="1" t="s">
        <v>179</v>
      </c>
      <c r="D24" s="1">
        <v>288029978</v>
      </c>
      <c r="E24" s="35" t="s">
        <v>238</v>
      </c>
      <c r="F24" s="45" t="s">
        <v>87</v>
      </c>
      <c r="G24" s="1">
        <v>2</v>
      </c>
      <c r="H24" s="1" t="s">
        <v>183</v>
      </c>
      <c r="I24" s="1" t="s">
        <v>155</v>
      </c>
      <c r="J24" s="1" t="s">
        <v>264</v>
      </c>
      <c r="K24" s="1" t="s">
        <v>189</v>
      </c>
      <c r="M24" s="31"/>
      <c r="N24" s="1">
        <v>4</v>
      </c>
      <c r="O24" s="1">
        <v>0</v>
      </c>
      <c r="P24" s="1">
        <v>0</v>
      </c>
      <c r="Q24" s="1">
        <v>2</v>
      </c>
      <c r="R24" s="1">
        <v>2</v>
      </c>
      <c r="S24" s="1" t="s">
        <v>179</v>
      </c>
      <c r="T24" s="1">
        <v>1</v>
      </c>
      <c r="U24" s="45">
        <v>2</v>
      </c>
      <c r="W24" s="63"/>
      <c r="AA24" s="63"/>
      <c r="AC24" s="31"/>
      <c r="AD24" s="1">
        <v>53</v>
      </c>
      <c r="AE24" s="1">
        <v>10.4</v>
      </c>
      <c r="AF24" s="35">
        <v>300</v>
      </c>
      <c r="AG24" s="35">
        <v>7</v>
      </c>
      <c r="AH24" s="35">
        <v>31</v>
      </c>
      <c r="AI24" s="1">
        <v>820</v>
      </c>
      <c r="AJ24" s="35" t="s">
        <v>180</v>
      </c>
      <c r="AK24" s="1">
        <v>20</v>
      </c>
      <c r="AN24" s="32"/>
      <c r="AO24" s="91">
        <v>0</v>
      </c>
      <c r="AP24" s="35">
        <v>4</v>
      </c>
    </row>
    <row r="25" spans="1:72">
      <c r="A25" s="36">
        <v>3</v>
      </c>
      <c r="B25" s="36" t="s">
        <v>355</v>
      </c>
      <c r="C25" s="36" t="s">
        <v>213</v>
      </c>
      <c r="D25" s="36">
        <v>288029977</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v>
      </c>
      <c r="AH25" s="85">
        <v>31</v>
      </c>
      <c r="AI25" s="47">
        <v>820</v>
      </c>
      <c r="AJ25" s="85" t="s">
        <v>180</v>
      </c>
      <c r="AK25" s="37"/>
      <c r="AL25" s="37"/>
      <c r="AM25" s="47">
        <v>1</v>
      </c>
      <c r="AN25" s="92" t="s">
        <v>357</v>
      </c>
      <c r="AO25" s="93">
        <v>0</v>
      </c>
      <c r="AP25" s="85">
        <v>4</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355</v>
      </c>
      <c r="C26" s="1" t="s">
        <v>157</v>
      </c>
      <c r="D26" s="1">
        <v>172176254</v>
      </c>
      <c r="E26" s="35" t="s">
        <v>194</v>
      </c>
      <c r="F26" s="45" t="s">
        <v>98</v>
      </c>
      <c r="G26" s="1">
        <v>2</v>
      </c>
      <c r="H26" s="1" t="s">
        <v>183</v>
      </c>
      <c r="J26" s="1" t="s">
        <v>200</v>
      </c>
      <c r="K26" s="1" t="s">
        <v>189</v>
      </c>
      <c r="M26" s="31"/>
      <c r="N26" s="1">
        <v>3</v>
      </c>
      <c r="O26" s="1">
        <v>0</v>
      </c>
      <c r="P26" s="1">
        <v>0</v>
      </c>
      <c r="Q26" s="1">
        <v>1</v>
      </c>
      <c r="R26" s="1">
        <v>2</v>
      </c>
      <c r="S26" s="1" t="s">
        <v>179</v>
      </c>
      <c r="T26" s="1">
        <v>1</v>
      </c>
      <c r="U26" s="45">
        <v>3</v>
      </c>
      <c r="W26" s="63"/>
      <c r="AA26" s="63"/>
      <c r="AC26" s="31"/>
      <c r="AD26" s="1">
        <v>91</v>
      </c>
      <c r="AE26" s="1">
        <v>29.1</v>
      </c>
      <c r="AF26" s="35">
        <v>300</v>
      </c>
      <c r="AG26" s="35">
        <v>7</v>
      </c>
      <c r="AH26" s="35">
        <v>31</v>
      </c>
      <c r="AI26" s="1">
        <v>850</v>
      </c>
      <c r="AJ26" s="35" t="s">
        <v>180</v>
      </c>
      <c r="AK26" s="1">
        <v>10</v>
      </c>
      <c r="AN26" s="32"/>
      <c r="AO26" s="91" t="s">
        <v>157</v>
      </c>
      <c r="AP26" s="35">
        <v>4</v>
      </c>
    </row>
    <row r="27" spans="1:72">
      <c r="A27" s="1">
        <v>5</v>
      </c>
      <c r="B27" s="1" t="s">
        <v>355</v>
      </c>
      <c r="C27" s="1" t="s">
        <v>157</v>
      </c>
      <c r="D27" s="1">
        <v>172176261</v>
      </c>
      <c r="E27" s="35" t="s">
        <v>194</v>
      </c>
      <c r="F27" s="45" t="s">
        <v>98</v>
      </c>
      <c r="G27" s="1">
        <v>2</v>
      </c>
      <c r="H27" s="1" t="s">
        <v>183</v>
      </c>
      <c r="J27" s="1" t="s">
        <v>264</v>
      </c>
      <c r="K27" s="1" t="s">
        <v>189</v>
      </c>
      <c r="M27" s="31"/>
      <c r="N27" s="1">
        <v>2</v>
      </c>
      <c r="O27" s="1">
        <v>0</v>
      </c>
      <c r="P27" s="1">
        <v>0</v>
      </c>
      <c r="Q27" s="1">
        <v>1</v>
      </c>
      <c r="R27" s="1">
        <v>3</v>
      </c>
      <c r="S27" s="1" t="s">
        <v>179</v>
      </c>
      <c r="T27" s="1">
        <v>1</v>
      </c>
      <c r="U27" s="45">
        <v>1</v>
      </c>
      <c r="W27" s="63"/>
      <c r="AA27" s="63"/>
      <c r="AC27" s="31"/>
      <c r="AD27" s="1">
        <v>96</v>
      </c>
      <c r="AE27" s="1">
        <v>32.299999999999997</v>
      </c>
      <c r="AF27" s="35">
        <v>300</v>
      </c>
      <c r="AG27" s="35">
        <v>7</v>
      </c>
      <c r="AH27" s="35">
        <v>31</v>
      </c>
      <c r="AI27" s="1">
        <v>920</v>
      </c>
      <c r="AJ27" s="35" t="s">
        <v>180</v>
      </c>
      <c r="AK27" s="1">
        <v>20</v>
      </c>
      <c r="AM27" s="1">
        <v>2</v>
      </c>
      <c r="AN27" s="94" t="s">
        <v>358</v>
      </c>
      <c r="AO27" s="91" t="s">
        <v>157</v>
      </c>
      <c r="AP27" s="35">
        <v>4</v>
      </c>
    </row>
    <row r="28" spans="1:72">
      <c r="A28" s="36">
        <v>6</v>
      </c>
      <c r="B28" s="36" t="s">
        <v>355</v>
      </c>
      <c r="C28" s="36" t="s">
        <v>157</v>
      </c>
      <c r="D28" s="36">
        <v>288029975</v>
      </c>
      <c r="E28" s="85" t="s">
        <v>238</v>
      </c>
      <c r="F28" s="58" t="s">
        <v>87</v>
      </c>
      <c r="G28" s="36">
        <v>2</v>
      </c>
      <c r="H28" s="36" t="s">
        <v>183</v>
      </c>
      <c r="I28" s="36" t="s">
        <v>155</v>
      </c>
      <c r="J28" s="36" t="s">
        <v>200</v>
      </c>
      <c r="K28" s="36" t="s">
        <v>189</v>
      </c>
      <c r="L28" s="37"/>
      <c r="M28" s="39"/>
      <c r="N28" s="36">
        <v>3</v>
      </c>
      <c r="O28" s="47">
        <v>0</v>
      </c>
      <c r="P28" s="47">
        <v>0</v>
      </c>
      <c r="Q28" s="47">
        <v>2</v>
      </c>
      <c r="R28" s="47">
        <v>3</v>
      </c>
      <c r="S28" s="47" t="s">
        <v>179</v>
      </c>
      <c r="T28" s="47">
        <v>1</v>
      </c>
      <c r="U28" s="95">
        <v>3</v>
      </c>
      <c r="V28" s="37"/>
      <c r="W28" s="64"/>
      <c r="X28" s="37"/>
      <c r="Y28" s="37"/>
      <c r="Z28" s="37"/>
      <c r="AA28" s="64"/>
      <c r="AB28" s="37"/>
      <c r="AC28" s="39"/>
      <c r="AD28" s="47">
        <v>60</v>
      </c>
      <c r="AE28" s="47">
        <v>10.7</v>
      </c>
      <c r="AF28" s="85">
        <v>300</v>
      </c>
      <c r="AG28" s="85">
        <v>7</v>
      </c>
      <c r="AH28" s="85">
        <v>31</v>
      </c>
      <c r="AI28" s="47">
        <v>950</v>
      </c>
      <c r="AJ28" s="85" t="s">
        <v>180</v>
      </c>
      <c r="AK28" s="47">
        <v>10</v>
      </c>
      <c r="AL28" s="37"/>
      <c r="AM28" s="37"/>
      <c r="AN28" s="41"/>
      <c r="AO28" s="93" t="s">
        <v>157</v>
      </c>
      <c r="AP28" s="85">
        <v>4</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7</v>
      </c>
      <c r="B29" s="1" t="s">
        <v>355</v>
      </c>
      <c r="C29" s="1" t="s">
        <v>179</v>
      </c>
      <c r="D29" s="1">
        <v>172176273</v>
      </c>
      <c r="E29" s="35" t="s">
        <v>194</v>
      </c>
      <c r="F29" s="45" t="s">
        <v>98</v>
      </c>
      <c r="G29" s="1">
        <v>2</v>
      </c>
      <c r="H29" s="1" t="s">
        <v>183</v>
      </c>
      <c r="I29" s="1" t="s">
        <v>155</v>
      </c>
      <c r="J29" s="1" t="s">
        <v>264</v>
      </c>
      <c r="K29" s="1" t="s">
        <v>189</v>
      </c>
      <c r="M29" s="31"/>
      <c r="N29" s="1">
        <v>2</v>
      </c>
      <c r="O29" s="1">
        <v>0</v>
      </c>
      <c r="P29" s="1">
        <v>0</v>
      </c>
      <c r="Q29" s="1">
        <v>1</v>
      </c>
      <c r="R29" s="1">
        <v>3</v>
      </c>
      <c r="S29" s="1" t="s">
        <v>183</v>
      </c>
      <c r="T29" s="1">
        <v>0</v>
      </c>
      <c r="U29" s="96">
        <v>1</v>
      </c>
      <c r="W29" s="63"/>
      <c r="AA29" s="63"/>
      <c r="AC29" s="31"/>
      <c r="AD29" s="1">
        <v>90</v>
      </c>
      <c r="AE29" s="1">
        <v>31.3</v>
      </c>
      <c r="AF29" s="35">
        <v>300</v>
      </c>
      <c r="AG29" s="35">
        <v>7</v>
      </c>
      <c r="AH29" s="35">
        <v>31</v>
      </c>
      <c r="AI29" s="1">
        <v>1150</v>
      </c>
      <c r="AJ29" s="35" t="s">
        <v>180</v>
      </c>
      <c r="AK29" s="46">
        <v>9</v>
      </c>
      <c r="AN29" s="32"/>
      <c r="AO29" s="91" t="s">
        <v>203</v>
      </c>
      <c r="AP29" s="35">
        <v>4</v>
      </c>
    </row>
    <row r="30" spans="1:72">
      <c r="A30" s="1">
        <v>8</v>
      </c>
      <c r="B30" s="1" t="s">
        <v>355</v>
      </c>
      <c r="C30" s="1" t="s">
        <v>179</v>
      </c>
      <c r="D30" s="1">
        <v>172176275</v>
      </c>
      <c r="E30" s="35" t="s">
        <v>194</v>
      </c>
      <c r="F30" s="45" t="s">
        <v>98</v>
      </c>
      <c r="G30" s="1">
        <v>2</v>
      </c>
      <c r="H30" s="1" t="s">
        <v>183</v>
      </c>
      <c r="I30" s="1" t="s">
        <v>155</v>
      </c>
      <c r="J30" s="1" t="s">
        <v>200</v>
      </c>
      <c r="K30" s="1" t="s">
        <v>189</v>
      </c>
      <c r="M30" s="31"/>
      <c r="N30" s="1">
        <v>3</v>
      </c>
      <c r="O30" s="1">
        <v>0</v>
      </c>
      <c r="P30" s="1">
        <v>0</v>
      </c>
      <c r="Q30" s="1">
        <v>1</v>
      </c>
      <c r="R30" s="1">
        <v>2</v>
      </c>
      <c r="S30" s="1" t="s">
        <v>179</v>
      </c>
      <c r="T30" s="1">
        <v>1</v>
      </c>
      <c r="U30" s="96">
        <v>3</v>
      </c>
      <c r="W30" s="63"/>
      <c r="AA30" s="63"/>
      <c r="AC30" s="31"/>
      <c r="AD30" s="1">
        <v>96</v>
      </c>
      <c r="AE30" s="1">
        <v>31.8</v>
      </c>
      <c r="AF30" s="35">
        <v>300</v>
      </c>
      <c r="AG30" s="35">
        <v>7</v>
      </c>
      <c r="AH30" s="35">
        <v>31</v>
      </c>
      <c r="AI30" s="1">
        <v>1150</v>
      </c>
      <c r="AJ30" s="35" t="s">
        <v>180</v>
      </c>
      <c r="AK30" s="46">
        <v>20</v>
      </c>
      <c r="AN30" s="32"/>
      <c r="AO30" s="91" t="s">
        <v>203</v>
      </c>
      <c r="AP30" s="35">
        <v>4</v>
      </c>
    </row>
    <row r="31" spans="1:72">
      <c r="A31" s="11">
        <v>9</v>
      </c>
      <c r="B31" s="11" t="s">
        <v>355</v>
      </c>
      <c r="C31" s="11" t="s">
        <v>179</v>
      </c>
      <c r="D31" s="11">
        <v>172176276</v>
      </c>
      <c r="E31" s="53" t="s">
        <v>194</v>
      </c>
      <c r="F31" s="59" t="s">
        <v>98</v>
      </c>
      <c r="G31" s="11">
        <v>2</v>
      </c>
      <c r="H31" s="11" t="s">
        <v>183</v>
      </c>
      <c r="I31" s="11" t="s">
        <v>155</v>
      </c>
      <c r="J31" s="11" t="s">
        <v>200</v>
      </c>
      <c r="K31" s="11" t="s">
        <v>189</v>
      </c>
      <c r="L31" s="12"/>
      <c r="M31" s="49"/>
      <c r="N31" s="53">
        <v>2</v>
      </c>
      <c r="O31" s="53">
        <v>0</v>
      </c>
      <c r="P31" s="53">
        <v>0</v>
      </c>
      <c r="Q31" s="53">
        <v>1</v>
      </c>
      <c r="R31" s="53">
        <v>3</v>
      </c>
      <c r="S31" s="53" t="s">
        <v>183</v>
      </c>
      <c r="T31" s="53">
        <v>0</v>
      </c>
      <c r="U31" s="97">
        <v>3</v>
      </c>
      <c r="V31" s="12"/>
      <c r="W31" s="66"/>
      <c r="X31" s="12"/>
      <c r="Y31" s="12"/>
      <c r="Z31" s="12"/>
      <c r="AA31" s="66"/>
      <c r="AB31" s="12"/>
      <c r="AC31" s="49"/>
      <c r="AD31" s="53">
        <v>90</v>
      </c>
      <c r="AE31" s="53">
        <v>28.6</v>
      </c>
      <c r="AF31" s="87">
        <v>300</v>
      </c>
      <c r="AG31" s="87">
        <v>7</v>
      </c>
      <c r="AH31" s="87">
        <v>31</v>
      </c>
      <c r="AI31" s="53">
        <v>1220</v>
      </c>
      <c r="AJ31" s="87" t="s">
        <v>180</v>
      </c>
      <c r="AK31" s="53">
        <v>9</v>
      </c>
      <c r="AL31" s="12"/>
      <c r="AM31" s="12"/>
      <c r="AN31" s="51"/>
      <c r="AO31" s="90" t="s">
        <v>203</v>
      </c>
      <c r="AP31" s="87">
        <v>4</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F32" s="31"/>
      <c r="M32" s="31"/>
      <c r="U32" s="31"/>
      <c r="W32" s="63"/>
      <c r="AA32" s="63"/>
      <c r="AC32" s="31"/>
      <c r="AN32" s="32"/>
      <c r="AO32" s="98"/>
    </row>
    <row r="33" spans="6:41">
      <c r="F33" s="31"/>
      <c r="M33" s="31"/>
      <c r="U33" s="31"/>
      <c r="W33" s="63"/>
      <c r="AA33" s="63"/>
      <c r="AC33" s="31"/>
      <c r="AN33" s="32"/>
      <c r="AO33" s="98"/>
    </row>
    <row r="34" spans="6:41">
      <c r="F34" s="31"/>
      <c r="M34" s="31"/>
      <c r="U34" s="31"/>
      <c r="W34" s="63"/>
      <c r="AA34" s="63"/>
      <c r="AC34" s="31"/>
      <c r="AN34" s="32"/>
      <c r="AO34" s="98"/>
    </row>
    <row r="35" spans="6:41">
      <c r="F35" s="31"/>
      <c r="M35" s="31"/>
      <c r="U35" s="31"/>
      <c r="W35" s="63"/>
      <c r="AA35" s="63"/>
      <c r="AC35" s="31"/>
      <c r="AN35" s="32"/>
      <c r="AO35" s="98"/>
    </row>
    <row r="36" spans="6:41">
      <c r="F36" s="31"/>
      <c r="M36" s="31"/>
      <c r="U36" s="31"/>
      <c r="W36" s="63"/>
      <c r="AA36" s="63"/>
      <c r="AC36" s="31"/>
      <c r="AN36" s="32"/>
      <c r="AO36" s="98"/>
    </row>
    <row r="37" spans="6:41">
      <c r="F37" s="31"/>
      <c r="M37" s="31"/>
      <c r="U37" s="31"/>
      <c r="W37" s="63"/>
      <c r="AA37" s="63"/>
      <c r="AC37" s="31"/>
      <c r="AN37" s="32"/>
      <c r="AO37" s="98"/>
    </row>
    <row r="38" spans="6:41">
      <c r="F38" s="31"/>
      <c r="M38" s="31"/>
      <c r="U38" s="31"/>
      <c r="W38" s="63"/>
      <c r="AA38" s="63"/>
      <c r="AC38" s="31"/>
      <c r="AN38" s="32"/>
      <c r="AO38" s="98"/>
    </row>
    <row r="39" spans="6:41">
      <c r="F39" s="31"/>
      <c r="M39" s="31"/>
      <c r="U39" s="31"/>
      <c r="W39" s="63"/>
      <c r="AA39" s="63"/>
      <c r="AC39" s="31"/>
      <c r="AN39" s="32"/>
      <c r="AO39" s="98"/>
    </row>
    <row r="40" spans="6:41">
      <c r="F40" s="31"/>
      <c r="M40" s="31"/>
      <c r="U40" s="31"/>
      <c r="W40" s="63"/>
      <c r="AA40" s="63"/>
      <c r="AC40" s="31"/>
      <c r="AN40" s="32"/>
      <c r="AO40" s="98"/>
    </row>
    <row r="41" spans="6:41">
      <c r="F41" s="31"/>
      <c r="M41" s="31"/>
      <c r="U41" s="31"/>
      <c r="W41" s="63"/>
      <c r="AA41" s="63"/>
      <c r="AC41" s="31"/>
      <c r="AN41" s="32"/>
      <c r="AO41" s="98"/>
    </row>
    <row r="42" spans="6:41">
      <c r="F42" s="31"/>
      <c r="M42" s="31"/>
      <c r="U42" s="31"/>
      <c r="W42" s="63"/>
      <c r="AA42" s="63"/>
      <c r="AC42" s="31"/>
      <c r="AN42" s="32"/>
      <c r="AO42" s="98"/>
    </row>
    <row r="43" spans="6:41">
      <c r="F43" s="31"/>
      <c r="M43" s="31"/>
      <c r="U43" s="31"/>
      <c r="W43" s="63"/>
      <c r="AA43" s="63"/>
      <c r="AC43" s="31"/>
      <c r="AN43" s="32"/>
      <c r="AO43" s="98"/>
    </row>
    <row r="44" spans="6:41">
      <c r="F44" s="31"/>
      <c r="M44" s="31"/>
      <c r="U44" s="31"/>
      <c r="W44" s="63"/>
      <c r="AA44" s="63"/>
      <c r="AC44" s="31"/>
      <c r="AN44" s="32"/>
      <c r="AO44" s="98"/>
    </row>
    <row r="45" spans="6:41">
      <c r="F45" s="31"/>
      <c r="M45" s="31"/>
      <c r="U45" s="31"/>
      <c r="W45" s="63"/>
      <c r="AA45" s="63"/>
      <c r="AC45" s="31"/>
      <c r="AN45" s="32"/>
      <c r="AO45" s="98"/>
    </row>
    <row r="46" spans="6:41">
      <c r="F46" s="31"/>
      <c r="M46" s="31"/>
      <c r="U46" s="31"/>
      <c r="W46" s="63"/>
      <c r="AA46" s="63"/>
      <c r="AC46" s="31"/>
      <c r="AN46" s="32"/>
      <c r="AO46" s="98"/>
    </row>
    <row r="47" spans="6:41">
      <c r="F47" s="31"/>
      <c r="M47" s="31"/>
      <c r="U47" s="31"/>
      <c r="W47" s="63"/>
      <c r="AA47" s="63"/>
      <c r="AC47" s="31"/>
      <c r="AN47" s="32"/>
      <c r="AO47" s="98"/>
    </row>
    <row r="48" spans="6:41">
      <c r="F48" s="31"/>
      <c r="M48" s="31"/>
      <c r="U48" s="31"/>
      <c r="W48" s="63"/>
      <c r="AA48" s="63"/>
      <c r="AC48" s="31"/>
      <c r="AN48" s="32"/>
      <c r="AO48" s="98"/>
    </row>
    <row r="49" spans="6:41">
      <c r="F49" s="31"/>
      <c r="M49" s="31"/>
      <c r="U49" s="31"/>
      <c r="W49" s="63"/>
      <c r="AA49" s="63"/>
      <c r="AC49" s="31"/>
      <c r="AN49" s="32"/>
      <c r="AO49" s="98"/>
    </row>
    <row r="50" spans="6:41">
      <c r="F50" s="31"/>
      <c r="M50" s="31"/>
      <c r="U50" s="31"/>
      <c r="W50" s="63"/>
      <c r="AA50" s="63"/>
      <c r="AC50" s="31"/>
      <c r="AN50" s="32"/>
      <c r="AO50" s="98"/>
    </row>
    <row r="51" spans="6:41">
      <c r="F51" s="31"/>
      <c r="M51" s="31"/>
      <c r="U51" s="31"/>
      <c r="W51" s="63"/>
      <c r="AA51" s="63"/>
      <c r="AC51" s="31"/>
      <c r="AN51" s="32"/>
      <c r="AO51" s="98"/>
    </row>
    <row r="52" spans="6:41">
      <c r="F52" s="31"/>
      <c r="M52" s="31"/>
      <c r="U52" s="31"/>
      <c r="W52" s="63"/>
      <c r="AA52" s="63"/>
      <c r="AC52" s="31"/>
      <c r="AN52" s="32"/>
      <c r="AO52" s="98"/>
    </row>
    <row r="53" spans="6:41">
      <c r="F53" s="31"/>
      <c r="M53" s="31"/>
      <c r="U53" s="31"/>
      <c r="W53" s="63"/>
      <c r="AA53" s="63"/>
      <c r="AC53" s="31"/>
      <c r="AN53" s="32"/>
      <c r="AO53" s="98"/>
    </row>
    <row r="54" spans="6:41">
      <c r="F54" s="31"/>
      <c r="M54" s="31"/>
      <c r="U54" s="31"/>
      <c r="W54" s="63"/>
      <c r="AA54" s="63"/>
      <c r="AC54" s="31"/>
      <c r="AN54" s="32"/>
      <c r="AO54" s="98"/>
    </row>
    <row r="55" spans="6:41">
      <c r="F55" s="31"/>
      <c r="M55" s="31"/>
      <c r="U55" s="31"/>
      <c r="W55" s="63"/>
      <c r="AA55" s="63"/>
      <c r="AC55" s="31"/>
      <c r="AN55" s="32"/>
      <c r="AO55" s="98"/>
    </row>
    <row r="56" spans="6:41">
      <c r="F56" s="31"/>
      <c r="M56" s="31"/>
      <c r="U56" s="31"/>
      <c r="W56" s="63"/>
      <c r="AA56" s="63"/>
      <c r="AC56" s="31"/>
      <c r="AN56" s="32"/>
      <c r="AO56" s="98"/>
    </row>
    <row r="57" spans="6:41">
      <c r="F57" s="31"/>
      <c r="M57" s="31"/>
      <c r="U57" s="31"/>
      <c r="W57" s="63"/>
      <c r="AA57" s="63"/>
      <c r="AC57" s="31"/>
      <c r="AN57" s="32"/>
      <c r="AO57" s="98"/>
    </row>
    <row r="58" spans="6:41">
      <c r="F58" s="31"/>
      <c r="M58" s="31"/>
      <c r="U58" s="31"/>
      <c r="W58" s="63"/>
      <c r="AA58" s="63"/>
      <c r="AC58" s="31"/>
      <c r="AN58" s="32"/>
      <c r="AO58" s="98"/>
    </row>
    <row r="59" spans="6:41">
      <c r="F59" s="31"/>
      <c r="M59" s="31"/>
      <c r="U59" s="31"/>
      <c r="W59" s="63"/>
      <c r="AA59" s="63"/>
      <c r="AC59" s="31"/>
      <c r="AN59" s="32"/>
      <c r="AO59" s="98"/>
    </row>
    <row r="60" spans="6:41">
      <c r="F60" s="31"/>
      <c r="M60" s="31"/>
      <c r="U60" s="31"/>
      <c r="W60" s="63"/>
      <c r="AA60" s="63"/>
      <c r="AC60" s="31"/>
      <c r="AN60" s="32"/>
      <c r="AO60" s="98"/>
    </row>
    <row r="61" spans="6:41">
      <c r="F61" s="31"/>
      <c r="M61" s="31"/>
      <c r="U61" s="31"/>
      <c r="W61" s="63"/>
      <c r="AA61" s="63"/>
      <c r="AC61" s="31"/>
      <c r="AN61" s="32"/>
      <c r="AO61" s="98"/>
    </row>
    <row r="62" spans="6:41">
      <c r="F62" s="31"/>
      <c r="M62" s="31"/>
      <c r="U62" s="31"/>
      <c r="W62" s="63"/>
      <c r="AA62" s="63"/>
      <c r="AC62" s="31"/>
      <c r="AN62" s="32"/>
      <c r="AO62" s="98"/>
    </row>
    <row r="63" spans="6:41">
      <c r="F63" s="31"/>
      <c r="M63" s="31"/>
      <c r="U63" s="31"/>
      <c r="W63" s="63"/>
      <c r="AA63" s="63"/>
      <c r="AC63" s="31"/>
      <c r="AN63" s="32"/>
      <c r="AO63" s="98"/>
    </row>
    <row r="64" spans="6:41">
      <c r="F64" s="31"/>
      <c r="M64" s="31"/>
      <c r="U64" s="31"/>
      <c r="W64" s="63"/>
      <c r="AA64" s="63"/>
      <c r="AC64" s="31"/>
      <c r="AN64" s="32"/>
      <c r="AO64" s="98"/>
    </row>
    <row r="65" spans="6:41">
      <c r="F65" s="31"/>
      <c r="M65" s="31"/>
      <c r="U65" s="31"/>
      <c r="W65" s="63"/>
      <c r="AA65" s="63"/>
      <c r="AC65" s="31"/>
      <c r="AN65" s="32"/>
      <c r="AO65" s="98"/>
    </row>
    <row r="66" spans="6:41">
      <c r="F66" s="31"/>
      <c r="M66" s="31"/>
      <c r="U66" s="31"/>
      <c r="W66" s="63"/>
      <c r="AA66" s="63"/>
      <c r="AC66" s="31"/>
      <c r="AN66" s="32"/>
      <c r="AO66" s="98"/>
    </row>
    <row r="67" spans="6:41">
      <c r="F67" s="31"/>
      <c r="M67" s="31"/>
      <c r="U67" s="31"/>
      <c r="W67" s="63"/>
      <c r="AA67" s="63"/>
      <c r="AC67" s="31"/>
      <c r="AN67" s="32"/>
      <c r="AO67" s="98"/>
    </row>
    <row r="68" spans="6:41">
      <c r="F68" s="31"/>
      <c r="M68" s="31"/>
      <c r="U68" s="31"/>
      <c r="W68" s="63"/>
      <c r="AA68" s="63"/>
      <c r="AC68" s="31"/>
      <c r="AN68" s="32"/>
      <c r="AO68" s="98"/>
    </row>
    <row r="69" spans="6:41">
      <c r="F69" s="31"/>
      <c r="M69" s="31"/>
      <c r="U69" s="31"/>
      <c r="W69" s="63"/>
      <c r="AA69" s="63"/>
      <c r="AC69" s="31"/>
      <c r="AN69" s="32"/>
      <c r="AO69" s="98"/>
    </row>
    <row r="70" spans="6:41">
      <c r="F70" s="31"/>
      <c r="M70" s="31"/>
      <c r="U70" s="31"/>
      <c r="W70" s="63"/>
      <c r="AA70" s="63"/>
      <c r="AC70" s="31"/>
      <c r="AN70" s="32"/>
      <c r="AO70" s="98"/>
    </row>
    <row r="71" spans="6:41">
      <c r="F71" s="31"/>
      <c r="M71" s="31"/>
      <c r="U71" s="31"/>
      <c r="W71" s="63"/>
      <c r="AA71" s="63"/>
      <c r="AC71" s="31"/>
      <c r="AN71" s="32"/>
      <c r="AO71" s="98"/>
    </row>
    <row r="72" spans="6:41">
      <c r="F72" s="31"/>
      <c r="M72" s="31"/>
      <c r="U72" s="31"/>
      <c r="W72" s="63"/>
      <c r="AA72" s="63"/>
      <c r="AC72" s="31"/>
      <c r="AN72" s="32"/>
      <c r="AO72" s="98"/>
    </row>
    <row r="73" spans="6:41">
      <c r="F73" s="31"/>
      <c r="M73" s="31"/>
      <c r="U73" s="31"/>
      <c r="W73" s="63"/>
      <c r="AA73" s="63"/>
      <c r="AC73" s="31"/>
      <c r="AN73" s="32"/>
      <c r="AO73" s="98"/>
    </row>
    <row r="74" spans="6:41">
      <c r="F74" s="31"/>
      <c r="M74" s="31"/>
      <c r="U74" s="31"/>
      <c r="W74" s="63"/>
      <c r="AA74" s="63"/>
      <c r="AC74" s="31"/>
      <c r="AN74" s="32"/>
      <c r="AO74" s="98"/>
    </row>
    <row r="75" spans="6:41">
      <c r="F75" s="31"/>
      <c r="M75" s="31"/>
      <c r="U75" s="31"/>
      <c r="W75" s="63"/>
      <c r="AA75" s="63"/>
      <c r="AC75" s="31"/>
      <c r="AN75" s="32"/>
      <c r="AO75" s="98"/>
    </row>
    <row r="76" spans="6:41">
      <c r="F76" s="31"/>
      <c r="M76" s="31"/>
      <c r="U76" s="31"/>
      <c r="W76" s="63"/>
      <c r="AA76" s="63"/>
      <c r="AC76" s="31"/>
      <c r="AN76" s="32"/>
      <c r="AO76" s="98"/>
    </row>
    <row r="77" spans="6:41">
      <c r="F77" s="31"/>
      <c r="M77" s="31"/>
      <c r="U77" s="31"/>
      <c r="W77" s="63"/>
      <c r="AA77" s="63"/>
      <c r="AC77" s="31"/>
      <c r="AN77" s="32"/>
      <c r="AO77" s="98"/>
    </row>
    <row r="78" spans="6:41">
      <c r="F78" s="31"/>
      <c r="M78" s="31"/>
      <c r="U78" s="31"/>
      <c r="W78" s="63"/>
      <c r="AA78" s="63"/>
      <c r="AC78" s="31"/>
      <c r="AN78" s="32"/>
      <c r="AO78" s="98"/>
    </row>
    <row r="79" spans="6:41">
      <c r="F79" s="31"/>
      <c r="M79" s="31"/>
      <c r="U79" s="31"/>
      <c r="W79" s="63"/>
      <c r="AA79" s="63"/>
      <c r="AC79" s="31"/>
      <c r="AN79" s="32"/>
      <c r="AO79" s="98"/>
    </row>
    <row r="80" spans="6:41">
      <c r="F80" s="31"/>
      <c r="M80" s="31"/>
      <c r="U80" s="31"/>
      <c r="W80" s="63"/>
      <c r="AA80" s="63"/>
      <c r="AC80" s="31"/>
      <c r="AN80" s="32"/>
      <c r="AO80" s="98"/>
    </row>
    <row r="81" spans="6:41">
      <c r="F81" s="31"/>
      <c r="M81" s="31"/>
      <c r="U81" s="31"/>
      <c r="W81" s="63"/>
      <c r="AA81" s="63"/>
      <c r="AC81" s="31"/>
      <c r="AN81" s="32"/>
      <c r="AO81" s="98"/>
    </row>
    <row r="82" spans="6:41">
      <c r="F82" s="31"/>
      <c r="M82" s="31"/>
      <c r="U82" s="31"/>
      <c r="W82" s="63"/>
      <c r="AA82" s="63"/>
      <c r="AC82" s="31"/>
      <c r="AN82" s="32"/>
      <c r="AO82" s="98"/>
    </row>
    <row r="83" spans="6:41">
      <c r="F83" s="31"/>
      <c r="M83" s="31"/>
      <c r="U83" s="31"/>
      <c r="W83" s="63"/>
      <c r="AA83" s="63"/>
      <c r="AC83" s="31"/>
      <c r="AN83" s="32"/>
      <c r="AO83" s="98"/>
    </row>
    <row r="84" spans="6:41">
      <c r="F84" s="31"/>
      <c r="M84" s="31"/>
      <c r="U84" s="31"/>
      <c r="W84" s="63"/>
      <c r="AA84" s="63"/>
      <c r="AC84" s="31"/>
      <c r="AN84" s="32"/>
      <c r="AO84" s="98"/>
    </row>
    <row r="85" spans="6:41">
      <c r="F85" s="31"/>
      <c r="M85" s="31"/>
      <c r="U85" s="31"/>
      <c r="W85" s="63"/>
      <c r="AA85" s="63"/>
      <c r="AC85" s="31"/>
      <c r="AN85" s="32"/>
      <c r="AO85" s="98"/>
    </row>
    <row r="86" spans="6:41">
      <c r="F86" s="31"/>
      <c r="M86" s="31"/>
      <c r="U86" s="31"/>
      <c r="W86" s="63"/>
      <c r="AA86" s="63"/>
      <c r="AC86" s="31"/>
      <c r="AN86" s="32"/>
      <c r="AO86" s="98"/>
    </row>
    <row r="87" spans="6:41">
      <c r="F87" s="31"/>
      <c r="M87" s="31"/>
      <c r="U87" s="31"/>
      <c r="W87" s="63"/>
      <c r="AA87" s="63"/>
      <c r="AC87" s="31"/>
      <c r="AN87" s="32"/>
      <c r="AO87" s="98"/>
    </row>
    <row r="88" spans="6:41">
      <c r="F88" s="31"/>
      <c r="M88" s="31"/>
      <c r="U88" s="31"/>
      <c r="W88" s="63"/>
      <c r="AA88" s="63"/>
      <c r="AC88" s="31"/>
      <c r="AN88" s="32"/>
      <c r="AO88" s="98"/>
    </row>
    <row r="89" spans="6:41">
      <c r="F89" s="31"/>
      <c r="M89" s="31"/>
      <c r="U89" s="31"/>
      <c r="W89" s="63"/>
      <c r="AA89" s="63"/>
      <c r="AC89" s="31"/>
      <c r="AN89" s="32"/>
      <c r="AO89" s="98"/>
    </row>
    <row r="90" spans="6:41">
      <c r="F90" s="31"/>
      <c r="M90" s="31"/>
      <c r="U90" s="31"/>
      <c r="W90" s="63"/>
      <c r="AA90" s="63"/>
      <c r="AC90" s="31"/>
      <c r="AN90" s="32"/>
      <c r="AO90" s="98"/>
    </row>
    <row r="91" spans="6:41">
      <c r="F91" s="31"/>
      <c r="M91" s="31"/>
      <c r="U91" s="31"/>
      <c r="W91" s="63"/>
      <c r="AA91" s="63"/>
      <c r="AC91" s="31"/>
      <c r="AN91" s="32"/>
      <c r="AO91" s="98"/>
    </row>
    <row r="92" spans="6:41">
      <c r="F92" s="31"/>
      <c r="M92" s="31"/>
      <c r="U92" s="31"/>
      <c r="W92" s="63"/>
      <c r="AA92" s="63"/>
      <c r="AC92" s="31"/>
      <c r="AN92" s="32"/>
      <c r="AO92" s="98"/>
    </row>
    <row r="93" spans="6:41">
      <c r="F93" s="31"/>
      <c r="M93" s="31"/>
      <c r="U93" s="31"/>
      <c r="W93" s="63"/>
      <c r="AA93" s="63"/>
      <c r="AC93" s="31"/>
      <c r="AN93" s="32"/>
      <c r="AO93" s="98"/>
    </row>
    <row r="94" spans="6:41">
      <c r="F94" s="31"/>
      <c r="M94" s="31"/>
      <c r="U94" s="31"/>
      <c r="W94" s="63"/>
      <c r="AA94" s="63"/>
      <c r="AC94" s="31"/>
      <c r="AN94" s="32"/>
      <c r="AO94" s="98"/>
    </row>
    <row r="95" spans="6:41">
      <c r="F95" s="31"/>
      <c r="M95" s="31"/>
      <c r="U95" s="31"/>
      <c r="W95" s="63"/>
      <c r="AA95" s="63"/>
      <c r="AC95" s="31"/>
      <c r="AN95" s="32"/>
      <c r="AO95" s="98"/>
    </row>
    <row r="96" spans="6:41">
      <c r="F96" s="31"/>
      <c r="M96" s="31"/>
      <c r="U96" s="31"/>
      <c r="W96" s="63"/>
      <c r="AA96" s="63"/>
      <c r="AC96" s="31"/>
      <c r="AN96" s="32"/>
      <c r="AO96" s="98"/>
    </row>
    <row r="97" spans="6:41">
      <c r="F97" s="31"/>
      <c r="M97" s="31"/>
      <c r="U97" s="31"/>
      <c r="W97" s="63"/>
      <c r="AA97" s="63"/>
      <c r="AC97" s="31"/>
      <c r="AN97" s="32"/>
      <c r="AO97" s="98"/>
    </row>
    <row r="98" spans="6:41">
      <c r="F98" s="31"/>
      <c r="M98" s="31"/>
      <c r="U98" s="31"/>
      <c r="W98" s="63"/>
      <c r="AA98" s="63"/>
      <c r="AC98" s="31"/>
      <c r="AN98" s="32"/>
      <c r="AO98" s="98"/>
    </row>
    <row r="99" spans="6:41">
      <c r="F99" s="31"/>
      <c r="M99" s="31"/>
      <c r="U99" s="31"/>
      <c r="W99" s="63"/>
      <c r="AA99" s="63"/>
      <c r="AC99" s="31"/>
      <c r="AN99" s="32"/>
      <c r="AO99" s="98"/>
    </row>
    <row r="100" spans="6:41">
      <c r="F100" s="31"/>
      <c r="M100" s="31"/>
      <c r="U100" s="31"/>
      <c r="W100" s="63"/>
      <c r="AA100" s="63"/>
      <c r="AC100" s="31"/>
      <c r="AN100" s="32"/>
      <c r="AO100" s="98"/>
    </row>
    <row r="101" spans="6:41">
      <c r="F101" s="31"/>
      <c r="M101" s="31"/>
      <c r="U101" s="31"/>
      <c r="W101" s="63"/>
      <c r="AA101" s="63"/>
      <c r="AC101" s="31"/>
      <c r="AN101" s="32"/>
      <c r="AO101" s="98"/>
    </row>
    <row r="102" spans="6:41">
      <c r="F102" s="31"/>
      <c r="M102" s="31"/>
      <c r="U102" s="31"/>
      <c r="W102" s="63"/>
      <c r="AA102" s="63"/>
      <c r="AC102" s="31"/>
      <c r="AN102" s="32"/>
      <c r="AO102" s="98"/>
    </row>
    <row r="103" spans="6:41">
      <c r="F103" s="31"/>
      <c r="M103" s="31"/>
      <c r="U103" s="31"/>
      <c r="W103" s="63"/>
      <c r="AA103" s="63"/>
      <c r="AC103" s="31"/>
      <c r="AN103" s="32"/>
      <c r="AO103" s="98"/>
    </row>
    <row r="104" spans="6:41">
      <c r="F104" s="31"/>
      <c r="M104" s="31"/>
      <c r="U104" s="31"/>
      <c r="W104" s="63"/>
      <c r="AA104" s="63"/>
      <c r="AC104" s="31"/>
      <c r="AN104" s="32"/>
      <c r="AO104" s="98"/>
    </row>
    <row r="105" spans="6:41">
      <c r="F105" s="31"/>
      <c r="M105" s="31"/>
      <c r="U105" s="31"/>
      <c r="W105" s="63"/>
      <c r="AA105" s="63"/>
      <c r="AC105" s="31"/>
      <c r="AN105" s="32"/>
      <c r="AO105" s="98"/>
    </row>
    <row r="106" spans="6:41">
      <c r="F106" s="31"/>
      <c r="M106" s="31"/>
      <c r="U106" s="31"/>
      <c r="W106" s="63"/>
      <c r="AA106" s="63"/>
      <c r="AC106" s="31"/>
      <c r="AN106" s="32"/>
      <c r="AO106" s="98"/>
    </row>
    <row r="107" spans="6:41">
      <c r="F107" s="31"/>
      <c r="M107" s="31"/>
      <c r="U107" s="31"/>
      <c r="W107" s="63"/>
      <c r="AA107" s="63"/>
      <c r="AC107" s="31"/>
      <c r="AN107" s="32"/>
      <c r="AO107" s="98"/>
    </row>
    <row r="108" spans="6:41">
      <c r="F108" s="31"/>
      <c r="M108" s="31"/>
      <c r="U108" s="31"/>
      <c r="W108" s="63"/>
      <c r="AA108" s="63"/>
      <c r="AC108" s="31"/>
      <c r="AN108" s="32"/>
      <c r="AO108" s="98"/>
    </row>
    <row r="109" spans="6:41">
      <c r="F109" s="31"/>
      <c r="M109" s="31"/>
      <c r="U109" s="31"/>
      <c r="W109" s="63"/>
      <c r="AA109" s="63"/>
      <c r="AC109" s="31"/>
      <c r="AN109" s="32"/>
      <c r="AO109" s="98"/>
    </row>
    <row r="110" spans="6:41">
      <c r="F110" s="31"/>
      <c r="M110" s="31"/>
      <c r="U110" s="31"/>
      <c r="W110" s="63"/>
      <c r="AA110" s="63"/>
      <c r="AC110" s="31"/>
      <c r="AN110" s="32"/>
      <c r="AO110" s="98"/>
    </row>
    <row r="111" spans="6:41">
      <c r="F111" s="31"/>
      <c r="M111" s="31"/>
      <c r="U111" s="31"/>
      <c r="W111" s="63"/>
      <c r="AA111" s="63"/>
      <c r="AC111" s="31"/>
      <c r="AN111" s="32"/>
      <c r="AO111" s="98"/>
    </row>
    <row r="112" spans="6:41">
      <c r="F112" s="31"/>
      <c r="M112" s="31"/>
      <c r="U112" s="31"/>
      <c r="W112" s="63"/>
      <c r="AA112" s="63"/>
      <c r="AC112" s="31"/>
      <c r="AN112" s="32"/>
      <c r="AO112" s="98"/>
    </row>
    <row r="113" spans="6:41">
      <c r="F113" s="31"/>
      <c r="M113" s="31"/>
      <c r="U113" s="31"/>
      <c r="W113" s="63"/>
      <c r="AA113" s="63"/>
      <c r="AC113" s="31"/>
      <c r="AN113" s="32"/>
      <c r="AO113" s="98"/>
    </row>
    <row r="114" spans="6:41">
      <c r="F114" s="31"/>
      <c r="M114" s="31"/>
      <c r="U114" s="31"/>
      <c r="W114" s="63"/>
      <c r="AA114" s="63"/>
      <c r="AC114" s="31"/>
      <c r="AN114" s="32"/>
      <c r="AO114" s="98"/>
    </row>
    <row r="115" spans="6:41">
      <c r="F115" s="31"/>
      <c r="M115" s="31"/>
      <c r="U115" s="31"/>
      <c r="W115" s="63"/>
      <c r="AA115" s="63"/>
      <c r="AC115" s="31"/>
      <c r="AN115" s="32"/>
      <c r="AO115" s="98"/>
    </row>
    <row r="116" spans="6:41">
      <c r="F116" s="31"/>
      <c r="M116" s="31"/>
      <c r="U116" s="31"/>
      <c r="W116" s="63"/>
      <c r="AA116" s="63"/>
      <c r="AC116" s="31"/>
      <c r="AN116" s="32"/>
      <c r="AO116" s="98"/>
    </row>
    <row r="117" spans="6:41">
      <c r="F117" s="31"/>
      <c r="M117" s="31"/>
      <c r="U117" s="31"/>
      <c r="W117" s="63"/>
      <c r="AA117" s="63"/>
      <c r="AC117" s="31"/>
      <c r="AN117" s="32"/>
      <c r="AO117" s="98"/>
    </row>
    <row r="118" spans="6:41">
      <c r="F118" s="31"/>
      <c r="M118" s="31"/>
      <c r="U118" s="31"/>
      <c r="W118" s="63"/>
      <c r="AA118" s="63"/>
      <c r="AC118" s="31"/>
      <c r="AN118" s="32"/>
      <c r="AO118" s="98"/>
    </row>
    <row r="119" spans="6:41">
      <c r="F119" s="31"/>
      <c r="M119" s="31"/>
      <c r="U119" s="31"/>
      <c r="W119" s="63"/>
      <c r="AA119" s="63"/>
      <c r="AC119" s="31"/>
      <c r="AN119" s="32"/>
      <c r="AO119" s="98"/>
    </row>
    <row r="120" spans="6:41">
      <c r="F120" s="31"/>
      <c r="M120" s="31"/>
      <c r="U120" s="31"/>
      <c r="W120" s="63"/>
      <c r="AA120" s="63"/>
      <c r="AC120" s="31"/>
      <c r="AN120" s="32"/>
      <c r="AO120" s="98"/>
    </row>
    <row r="121" spans="6:41">
      <c r="F121" s="31"/>
      <c r="M121" s="31"/>
      <c r="U121" s="31"/>
      <c r="W121" s="63"/>
      <c r="AA121" s="63"/>
      <c r="AC121" s="31"/>
      <c r="AN121" s="32"/>
      <c r="AO121" s="98"/>
    </row>
    <row r="122" spans="6:41">
      <c r="F122" s="31"/>
      <c r="M122" s="31"/>
      <c r="U122" s="31"/>
      <c r="W122" s="63"/>
      <c r="AA122" s="63"/>
      <c r="AC122" s="31"/>
      <c r="AN122" s="32"/>
      <c r="AO122" s="98"/>
    </row>
    <row r="123" spans="6:41">
      <c r="F123" s="31"/>
      <c r="M123" s="31"/>
      <c r="U123" s="31"/>
      <c r="W123" s="63"/>
      <c r="AA123" s="63"/>
      <c r="AC123" s="31"/>
      <c r="AN123" s="32"/>
      <c r="AO123" s="98"/>
    </row>
    <row r="124" spans="6:41">
      <c r="F124" s="31"/>
      <c r="M124" s="31"/>
      <c r="U124" s="31"/>
      <c r="W124" s="63"/>
      <c r="AA124" s="63"/>
      <c r="AC124" s="31"/>
      <c r="AN124" s="32"/>
      <c r="AO124" s="98"/>
    </row>
    <row r="125" spans="6:41">
      <c r="F125" s="31"/>
      <c r="M125" s="31"/>
      <c r="U125" s="31"/>
      <c r="W125" s="63"/>
      <c r="AA125" s="63"/>
      <c r="AC125" s="31"/>
      <c r="AN125" s="32"/>
      <c r="AO125" s="98"/>
    </row>
    <row r="126" spans="6:41">
      <c r="F126" s="31"/>
      <c r="M126" s="31"/>
      <c r="U126" s="31"/>
      <c r="W126" s="63"/>
      <c r="AA126" s="63"/>
      <c r="AC126" s="31"/>
      <c r="AN126" s="32"/>
      <c r="AO126" s="98"/>
    </row>
    <row r="127" spans="6:41">
      <c r="F127" s="31"/>
      <c r="M127" s="31"/>
      <c r="U127" s="31"/>
      <c r="W127" s="63"/>
      <c r="AA127" s="63"/>
      <c r="AC127" s="31"/>
      <c r="AN127" s="32"/>
      <c r="AO127" s="98"/>
    </row>
    <row r="128" spans="6:41">
      <c r="F128" s="31"/>
      <c r="M128" s="31"/>
      <c r="U128" s="31"/>
      <c r="W128" s="63"/>
      <c r="AA128" s="63"/>
      <c r="AC128" s="31"/>
      <c r="AN128" s="32"/>
      <c r="AO128" s="98"/>
    </row>
    <row r="129" spans="6:41">
      <c r="F129" s="31"/>
      <c r="M129" s="31"/>
      <c r="U129" s="31"/>
      <c r="W129" s="63"/>
      <c r="AA129" s="63"/>
      <c r="AC129" s="31"/>
      <c r="AN129" s="32"/>
      <c r="AO129" s="98"/>
    </row>
    <row r="130" spans="6:41">
      <c r="F130" s="31"/>
      <c r="M130" s="31"/>
      <c r="U130" s="31"/>
      <c r="W130" s="63"/>
      <c r="AA130" s="63"/>
      <c r="AC130" s="31"/>
      <c r="AN130" s="32"/>
      <c r="AO130" s="98"/>
    </row>
    <row r="131" spans="6:41">
      <c r="F131" s="31"/>
      <c r="M131" s="31"/>
      <c r="U131" s="31"/>
      <c r="W131" s="63"/>
      <c r="AA131" s="63"/>
      <c r="AC131" s="31"/>
      <c r="AN131" s="32"/>
      <c r="AO131" s="98"/>
    </row>
    <row r="132" spans="6:41">
      <c r="F132" s="31"/>
      <c r="M132" s="31"/>
      <c r="U132" s="31"/>
      <c r="W132" s="63"/>
      <c r="AA132" s="63"/>
      <c r="AC132" s="31"/>
      <c r="AN132" s="32"/>
      <c r="AO132" s="98"/>
    </row>
    <row r="133" spans="6:41">
      <c r="F133" s="31"/>
      <c r="M133" s="31"/>
      <c r="U133" s="31"/>
      <c r="W133" s="63"/>
      <c r="AA133" s="63"/>
      <c r="AC133" s="31"/>
      <c r="AN133" s="32"/>
      <c r="AO133" s="98"/>
    </row>
    <row r="134" spans="6:41">
      <c r="F134" s="31"/>
      <c r="M134" s="31"/>
      <c r="U134" s="31"/>
      <c r="W134" s="63"/>
      <c r="AA134" s="63"/>
      <c r="AC134" s="31"/>
      <c r="AN134" s="32"/>
      <c r="AO134" s="98"/>
    </row>
    <row r="135" spans="6:41">
      <c r="F135" s="31"/>
      <c r="M135" s="31"/>
      <c r="U135" s="31"/>
      <c r="W135" s="63"/>
      <c r="AA135" s="63"/>
      <c r="AC135" s="31"/>
      <c r="AN135" s="32"/>
      <c r="AO135" s="98"/>
    </row>
    <row r="136" spans="6:41">
      <c r="F136" s="31"/>
      <c r="M136" s="31"/>
      <c r="U136" s="31"/>
      <c r="W136" s="63"/>
      <c r="AA136" s="63"/>
      <c r="AC136" s="31"/>
      <c r="AN136" s="32"/>
      <c r="AO136" s="98"/>
    </row>
    <row r="137" spans="6:41">
      <c r="F137" s="31"/>
      <c r="M137" s="31"/>
      <c r="U137" s="31"/>
      <c r="W137" s="63"/>
      <c r="AA137" s="63"/>
      <c r="AC137" s="31"/>
      <c r="AN137" s="32"/>
      <c r="AO137" s="98"/>
    </row>
    <row r="138" spans="6:41">
      <c r="F138" s="31"/>
      <c r="M138" s="31"/>
      <c r="U138" s="31"/>
      <c r="W138" s="63"/>
      <c r="AA138" s="63"/>
      <c r="AC138" s="31"/>
      <c r="AN138" s="32"/>
      <c r="AO138" s="98"/>
    </row>
    <row r="139" spans="6:41">
      <c r="F139" s="31"/>
      <c r="M139" s="31"/>
      <c r="U139" s="31"/>
      <c r="W139" s="63"/>
      <c r="AA139" s="63"/>
      <c r="AC139" s="31"/>
      <c r="AN139" s="32"/>
      <c r="AO139" s="98"/>
    </row>
    <row r="140" spans="6:41">
      <c r="F140" s="31"/>
      <c r="M140" s="31"/>
      <c r="U140" s="31"/>
      <c r="W140" s="63"/>
      <c r="AA140" s="63"/>
      <c r="AC140" s="31"/>
      <c r="AN140" s="32"/>
      <c r="AO140" s="98"/>
    </row>
    <row r="141" spans="6:41">
      <c r="F141" s="31"/>
      <c r="M141" s="31"/>
      <c r="U141" s="31"/>
      <c r="W141" s="63"/>
      <c r="AA141" s="63"/>
      <c r="AC141" s="31"/>
      <c r="AN141" s="32"/>
      <c r="AO141" s="98"/>
    </row>
    <row r="142" spans="6:41">
      <c r="F142" s="31"/>
      <c r="M142" s="31"/>
      <c r="U142" s="31"/>
      <c r="W142" s="63"/>
      <c r="AA142" s="63"/>
      <c r="AC142" s="31"/>
      <c r="AN142" s="32"/>
      <c r="AO142" s="98"/>
    </row>
    <row r="143" spans="6:41">
      <c r="F143" s="31"/>
      <c r="M143" s="31"/>
      <c r="U143" s="31"/>
      <c r="W143" s="63"/>
      <c r="AA143" s="63"/>
      <c r="AC143" s="31"/>
      <c r="AN143" s="32"/>
      <c r="AO143" s="98"/>
    </row>
    <row r="144" spans="6:41">
      <c r="F144" s="31"/>
      <c r="M144" s="31"/>
      <c r="U144" s="31"/>
      <c r="W144" s="63"/>
      <c r="AA144" s="63"/>
      <c r="AC144" s="31"/>
      <c r="AN144" s="32"/>
      <c r="AO144" s="98"/>
    </row>
    <row r="145" spans="6:41">
      <c r="F145" s="31"/>
      <c r="M145" s="31"/>
      <c r="U145" s="31"/>
      <c r="W145" s="63"/>
      <c r="AA145" s="63"/>
      <c r="AC145" s="31"/>
      <c r="AN145" s="32"/>
      <c r="AO145" s="98"/>
    </row>
    <row r="146" spans="6:41">
      <c r="F146" s="31"/>
      <c r="M146" s="31"/>
      <c r="U146" s="31"/>
      <c r="W146" s="63"/>
      <c r="AA146" s="63"/>
      <c r="AC146" s="31"/>
      <c r="AN146" s="32"/>
      <c r="AO146" s="98"/>
    </row>
    <row r="147" spans="6:41">
      <c r="F147" s="31"/>
      <c r="M147" s="31"/>
      <c r="U147" s="31"/>
      <c r="W147" s="63"/>
      <c r="AA147" s="63"/>
      <c r="AC147" s="31"/>
      <c r="AN147" s="32"/>
      <c r="AO147" s="98"/>
    </row>
    <row r="148" spans="6:41">
      <c r="F148" s="31"/>
      <c r="M148" s="31"/>
      <c r="U148" s="31"/>
      <c r="W148" s="63"/>
      <c r="AA148" s="63"/>
      <c r="AC148" s="31"/>
      <c r="AN148" s="32"/>
      <c r="AO148" s="98"/>
    </row>
    <row r="149" spans="6:41">
      <c r="F149" s="31"/>
      <c r="M149" s="31"/>
      <c r="U149" s="31"/>
      <c r="W149" s="63"/>
      <c r="AA149" s="63"/>
      <c r="AC149" s="31"/>
      <c r="AN149" s="32"/>
      <c r="AO149" s="98"/>
    </row>
    <row r="150" spans="6:41">
      <c r="F150" s="31"/>
      <c r="M150" s="31"/>
      <c r="U150" s="31"/>
      <c r="W150" s="63"/>
      <c r="AA150" s="63"/>
      <c r="AC150" s="31"/>
      <c r="AN150" s="32"/>
      <c r="AO150" s="98"/>
    </row>
    <row r="151" spans="6:41">
      <c r="F151" s="31"/>
      <c r="M151" s="31"/>
      <c r="U151" s="31"/>
      <c r="W151" s="63"/>
      <c r="AA151" s="63"/>
      <c r="AC151" s="31"/>
      <c r="AN151" s="32"/>
      <c r="AO151" s="98"/>
    </row>
    <row r="152" spans="6:41">
      <c r="F152" s="31"/>
      <c r="M152" s="31"/>
      <c r="U152" s="31"/>
      <c r="W152" s="63"/>
      <c r="AA152" s="63"/>
      <c r="AC152" s="31"/>
      <c r="AN152" s="32"/>
      <c r="AO152" s="98"/>
    </row>
    <row r="153" spans="6:41">
      <c r="F153" s="31"/>
      <c r="M153" s="31"/>
      <c r="U153" s="31"/>
      <c r="W153" s="63"/>
      <c r="AA153" s="63"/>
      <c r="AC153" s="31"/>
      <c r="AN153" s="32"/>
      <c r="AO153" s="98"/>
    </row>
    <row r="154" spans="6:41">
      <c r="F154" s="31"/>
      <c r="M154" s="31"/>
      <c r="U154" s="31"/>
      <c r="W154" s="63"/>
      <c r="AA154" s="63"/>
      <c r="AC154" s="31"/>
      <c r="AN154" s="32"/>
      <c r="AO154" s="98"/>
    </row>
    <row r="155" spans="6:41">
      <c r="F155" s="31"/>
      <c r="M155" s="31"/>
      <c r="U155" s="31"/>
      <c r="W155" s="63"/>
      <c r="AA155" s="63"/>
      <c r="AC155" s="31"/>
      <c r="AN155" s="32"/>
      <c r="AO155" s="98"/>
    </row>
    <row r="156" spans="6:41">
      <c r="F156" s="31"/>
      <c r="M156" s="31"/>
      <c r="U156" s="31"/>
      <c r="W156" s="63"/>
      <c r="AA156" s="63"/>
      <c r="AC156" s="31"/>
      <c r="AN156" s="32"/>
      <c r="AO156" s="98"/>
    </row>
    <row r="157" spans="6:41">
      <c r="F157" s="31"/>
      <c r="M157" s="31"/>
      <c r="U157" s="31"/>
      <c r="W157" s="63"/>
      <c r="AA157" s="63"/>
      <c r="AC157" s="31"/>
      <c r="AN157" s="32"/>
      <c r="AO157" s="98"/>
    </row>
    <row r="158" spans="6:41">
      <c r="F158" s="31"/>
      <c r="M158" s="31"/>
      <c r="U158" s="31"/>
      <c r="W158" s="63"/>
      <c r="AA158" s="63"/>
      <c r="AC158" s="31"/>
      <c r="AN158" s="32"/>
      <c r="AO158" s="98"/>
    </row>
    <row r="159" spans="6:41">
      <c r="F159" s="31"/>
      <c r="M159" s="31"/>
      <c r="U159" s="31"/>
      <c r="W159" s="63"/>
      <c r="AA159" s="63"/>
      <c r="AC159" s="31"/>
      <c r="AN159" s="32"/>
      <c r="AO159" s="98"/>
    </row>
    <row r="160" spans="6:41">
      <c r="F160" s="31"/>
      <c r="M160" s="31"/>
      <c r="U160" s="31"/>
      <c r="W160" s="63"/>
      <c r="AA160" s="63"/>
      <c r="AC160" s="31"/>
      <c r="AN160" s="32"/>
      <c r="AO160" s="98"/>
    </row>
    <row r="161" spans="6:41">
      <c r="F161" s="31"/>
      <c r="M161" s="31"/>
      <c r="U161" s="31"/>
      <c r="W161" s="63"/>
      <c r="AA161" s="63"/>
      <c r="AC161" s="31"/>
      <c r="AN161" s="32"/>
      <c r="AO161" s="98"/>
    </row>
    <row r="162" spans="6:41">
      <c r="F162" s="31"/>
      <c r="M162" s="31"/>
      <c r="U162" s="31"/>
      <c r="W162" s="63"/>
      <c r="AA162" s="63"/>
      <c r="AC162" s="31"/>
      <c r="AN162" s="32"/>
      <c r="AO162" s="98"/>
    </row>
    <row r="163" spans="6:41">
      <c r="F163" s="31"/>
      <c r="M163" s="31"/>
      <c r="U163" s="31"/>
      <c r="W163" s="63"/>
      <c r="AA163" s="63"/>
      <c r="AC163" s="31"/>
      <c r="AN163" s="32"/>
      <c r="AO163" s="98"/>
    </row>
    <row r="164" spans="6:41">
      <c r="F164" s="31"/>
      <c r="M164" s="31"/>
      <c r="U164" s="31"/>
      <c r="W164" s="63"/>
      <c r="AA164" s="63"/>
      <c r="AC164" s="31"/>
      <c r="AN164" s="32"/>
      <c r="AO164" s="98"/>
    </row>
    <row r="165" spans="6:41">
      <c r="F165" s="31"/>
      <c r="M165" s="31"/>
      <c r="U165" s="31"/>
      <c r="W165" s="63"/>
      <c r="AA165" s="63"/>
      <c r="AC165" s="31"/>
      <c r="AN165" s="32"/>
      <c r="AO165" s="98"/>
    </row>
    <row r="166" spans="6:41">
      <c r="F166" s="31"/>
      <c r="M166" s="31"/>
      <c r="U166" s="31"/>
      <c r="W166" s="63"/>
      <c r="AA166" s="63"/>
      <c r="AC166" s="31"/>
      <c r="AN166" s="32"/>
      <c r="AO166" s="98"/>
    </row>
    <row r="167" spans="6:41">
      <c r="F167" s="31"/>
      <c r="M167" s="31"/>
      <c r="U167" s="31"/>
      <c r="W167" s="63"/>
      <c r="AA167" s="63"/>
      <c r="AC167" s="31"/>
      <c r="AN167" s="32"/>
      <c r="AO167" s="98"/>
    </row>
    <row r="168" spans="6:41">
      <c r="F168" s="31"/>
      <c r="M168" s="31"/>
      <c r="U168" s="31"/>
      <c r="W168" s="63"/>
      <c r="AA168" s="63"/>
      <c r="AC168" s="31"/>
      <c r="AN168" s="32"/>
      <c r="AO168" s="98"/>
    </row>
    <row r="169" spans="6:41">
      <c r="F169" s="31"/>
      <c r="M169" s="31"/>
      <c r="U169" s="31"/>
      <c r="W169" s="63"/>
      <c r="AA169" s="63"/>
      <c r="AC169" s="31"/>
      <c r="AN169" s="32"/>
      <c r="AO169" s="98"/>
    </row>
    <row r="170" spans="6:41">
      <c r="F170" s="31"/>
      <c r="M170" s="31"/>
      <c r="U170" s="31"/>
      <c r="W170" s="63"/>
      <c r="AA170" s="63"/>
      <c r="AC170" s="31"/>
      <c r="AN170" s="32"/>
      <c r="AO170" s="98"/>
    </row>
    <row r="171" spans="6:41">
      <c r="F171" s="31"/>
      <c r="M171" s="31"/>
      <c r="U171" s="31"/>
      <c r="W171" s="63"/>
      <c r="AA171" s="63"/>
      <c r="AC171" s="31"/>
      <c r="AN171" s="32"/>
      <c r="AO171" s="98"/>
    </row>
    <row r="172" spans="6:41">
      <c r="F172" s="31"/>
      <c r="M172" s="31"/>
      <c r="U172" s="31"/>
      <c r="W172" s="63"/>
      <c r="AA172" s="63"/>
      <c r="AC172" s="31"/>
      <c r="AN172" s="32"/>
      <c r="AO172" s="98"/>
    </row>
    <row r="173" spans="6:41">
      <c r="F173" s="31"/>
      <c r="M173" s="31"/>
      <c r="U173" s="31"/>
      <c r="W173" s="63"/>
      <c r="AA173" s="63"/>
      <c r="AC173" s="31"/>
      <c r="AN173" s="32"/>
      <c r="AO173" s="98"/>
    </row>
    <row r="174" spans="6:41">
      <c r="F174" s="31"/>
      <c r="M174" s="31"/>
      <c r="U174" s="31"/>
      <c r="W174" s="63"/>
      <c r="AA174" s="63"/>
      <c r="AC174" s="31"/>
      <c r="AN174" s="32"/>
      <c r="AO174" s="98"/>
    </row>
    <row r="175" spans="6:41">
      <c r="F175" s="31"/>
      <c r="M175" s="31"/>
      <c r="U175" s="31"/>
      <c r="W175" s="63"/>
      <c r="AA175" s="63"/>
      <c r="AC175" s="31"/>
      <c r="AN175" s="32"/>
      <c r="AO175" s="98"/>
    </row>
    <row r="176" spans="6:41">
      <c r="F176" s="31"/>
      <c r="M176" s="31"/>
      <c r="U176" s="31"/>
      <c r="W176" s="63"/>
      <c r="AA176" s="63"/>
      <c r="AC176" s="31"/>
      <c r="AN176" s="32"/>
      <c r="AO176" s="98"/>
    </row>
    <row r="177" spans="6:41">
      <c r="F177" s="31"/>
      <c r="M177" s="31"/>
      <c r="U177" s="31"/>
      <c r="W177" s="63"/>
      <c r="AA177" s="63"/>
      <c r="AC177" s="31"/>
      <c r="AN177" s="32"/>
      <c r="AO177" s="98"/>
    </row>
    <row r="178" spans="6:41">
      <c r="F178" s="31"/>
      <c r="M178" s="31"/>
      <c r="U178" s="31"/>
      <c r="W178" s="63"/>
      <c r="AA178" s="63"/>
      <c r="AC178" s="31"/>
      <c r="AN178" s="32"/>
      <c r="AO178" s="98"/>
    </row>
    <row r="179" spans="6:41">
      <c r="F179" s="31"/>
      <c r="M179" s="31"/>
      <c r="U179" s="31"/>
      <c r="W179" s="63"/>
      <c r="AA179" s="63"/>
      <c r="AC179" s="31"/>
      <c r="AN179" s="32"/>
      <c r="AO179" s="98"/>
    </row>
    <row r="180" spans="6:41">
      <c r="F180" s="31"/>
      <c r="M180" s="31"/>
      <c r="U180" s="31"/>
      <c r="W180" s="63"/>
      <c r="AA180" s="63"/>
      <c r="AC180" s="31"/>
      <c r="AN180" s="32"/>
      <c r="AO180" s="98"/>
    </row>
    <row r="181" spans="6:41">
      <c r="F181" s="31"/>
      <c r="M181" s="31"/>
      <c r="U181" s="31"/>
      <c r="W181" s="63"/>
      <c r="AA181" s="63"/>
      <c r="AC181" s="31"/>
      <c r="AN181" s="32"/>
      <c r="AO181" s="98"/>
    </row>
    <row r="182" spans="6:41">
      <c r="F182" s="31"/>
      <c r="M182" s="31"/>
      <c r="U182" s="31"/>
      <c r="W182" s="63"/>
      <c r="AA182" s="63"/>
      <c r="AC182" s="31"/>
      <c r="AN182" s="32"/>
      <c r="AO182" s="98"/>
    </row>
    <row r="183" spans="6:41">
      <c r="F183" s="31"/>
      <c r="M183" s="31"/>
      <c r="U183" s="31"/>
      <c r="W183" s="63"/>
      <c r="AA183" s="63"/>
      <c r="AC183" s="31"/>
      <c r="AN183" s="32"/>
      <c r="AO183" s="98"/>
    </row>
    <row r="184" spans="6:41">
      <c r="F184" s="31"/>
      <c r="M184" s="31"/>
      <c r="U184" s="31"/>
      <c r="W184" s="63"/>
      <c r="AA184" s="63"/>
      <c r="AC184" s="31"/>
      <c r="AN184" s="32"/>
      <c r="AO184" s="98"/>
    </row>
    <row r="185" spans="6:41">
      <c r="F185" s="31"/>
      <c r="M185" s="31"/>
      <c r="U185" s="31"/>
      <c r="W185" s="63"/>
      <c r="AA185" s="63"/>
      <c r="AC185" s="31"/>
      <c r="AN185" s="32"/>
      <c r="AO185" s="98"/>
    </row>
    <row r="186" spans="6:41">
      <c r="F186" s="31"/>
      <c r="M186" s="31"/>
      <c r="U186" s="31"/>
      <c r="W186" s="63"/>
      <c r="AA186" s="63"/>
      <c r="AC186" s="31"/>
      <c r="AN186" s="32"/>
      <c r="AO186" s="98"/>
    </row>
    <row r="187" spans="6:41">
      <c r="F187" s="31"/>
      <c r="M187" s="31"/>
      <c r="U187" s="31"/>
      <c r="W187" s="63"/>
      <c r="AA187" s="63"/>
      <c r="AC187" s="31"/>
      <c r="AN187" s="32"/>
      <c r="AO187" s="98"/>
    </row>
    <row r="188" spans="6:41">
      <c r="F188" s="31"/>
      <c r="M188" s="31"/>
      <c r="U188" s="31"/>
      <c r="W188" s="63"/>
      <c r="AA188" s="63"/>
      <c r="AC188" s="31"/>
      <c r="AN188" s="32"/>
      <c r="AO188" s="98"/>
    </row>
    <row r="189" spans="6:41">
      <c r="F189" s="31"/>
      <c r="M189" s="31"/>
      <c r="U189" s="31"/>
      <c r="W189" s="63"/>
      <c r="AA189" s="63"/>
      <c r="AC189" s="31"/>
      <c r="AN189" s="32"/>
      <c r="AO189" s="98"/>
    </row>
    <row r="190" spans="6:41">
      <c r="F190" s="31"/>
      <c r="M190" s="31"/>
      <c r="U190" s="31"/>
      <c r="W190" s="63"/>
      <c r="AA190" s="63"/>
      <c r="AC190" s="31"/>
      <c r="AN190" s="32"/>
      <c r="AO190" s="98"/>
    </row>
    <row r="191" spans="6:41">
      <c r="F191" s="31"/>
      <c r="M191" s="31"/>
      <c r="U191" s="31"/>
      <c r="W191" s="63"/>
      <c r="AA191" s="63"/>
      <c r="AC191" s="31"/>
      <c r="AN191" s="32"/>
      <c r="AO191" s="98"/>
    </row>
    <row r="192" spans="6:41">
      <c r="F192" s="31"/>
      <c r="M192" s="31"/>
      <c r="U192" s="31"/>
      <c r="W192" s="63"/>
      <c r="AA192" s="63"/>
      <c r="AC192" s="31"/>
      <c r="AN192" s="32"/>
      <c r="AO192" s="98"/>
    </row>
    <row r="193" spans="6:41">
      <c r="F193" s="31"/>
      <c r="M193" s="31"/>
      <c r="U193" s="31"/>
      <c r="W193" s="63"/>
      <c r="AA193" s="63"/>
      <c r="AC193" s="31"/>
      <c r="AN193" s="32"/>
      <c r="AO193" s="98"/>
    </row>
    <row r="194" spans="6:41">
      <c r="F194" s="31"/>
      <c r="M194" s="31"/>
      <c r="U194" s="31"/>
      <c r="W194" s="63"/>
      <c r="AA194" s="63"/>
      <c r="AC194" s="31"/>
      <c r="AN194" s="32"/>
      <c r="AO194" s="98"/>
    </row>
    <row r="195" spans="6:41">
      <c r="F195" s="31"/>
      <c r="M195" s="31"/>
      <c r="U195" s="31"/>
      <c r="W195" s="63"/>
      <c r="AA195" s="63"/>
      <c r="AC195" s="31"/>
      <c r="AN195" s="32"/>
      <c r="AO195" s="98"/>
    </row>
    <row r="196" spans="6:41">
      <c r="F196" s="31"/>
      <c r="M196" s="31"/>
      <c r="U196" s="31"/>
      <c r="W196" s="63"/>
      <c r="AA196" s="63"/>
      <c r="AC196" s="31"/>
      <c r="AN196" s="32"/>
      <c r="AO196" s="98"/>
    </row>
    <row r="197" spans="6:41">
      <c r="F197" s="31"/>
      <c r="M197" s="31"/>
      <c r="U197" s="31"/>
      <c r="W197" s="63"/>
      <c r="AA197" s="63"/>
      <c r="AC197" s="31"/>
      <c r="AN197" s="32"/>
      <c r="AO197" s="98"/>
    </row>
    <row r="198" spans="6:41">
      <c r="F198" s="31"/>
      <c r="M198" s="31"/>
      <c r="U198" s="31"/>
      <c r="W198" s="63"/>
      <c r="AA198" s="63"/>
      <c r="AC198" s="31"/>
      <c r="AN198" s="32"/>
      <c r="AO198" s="98"/>
    </row>
    <row r="199" spans="6:41">
      <c r="F199" s="31"/>
      <c r="M199" s="31"/>
      <c r="U199" s="31"/>
      <c r="W199" s="63"/>
      <c r="AA199" s="63"/>
      <c r="AC199" s="31"/>
      <c r="AN199" s="32"/>
      <c r="AO199" s="98"/>
    </row>
    <row r="200" spans="6:41">
      <c r="F200" s="31"/>
      <c r="M200" s="31"/>
      <c r="U200" s="31"/>
      <c r="W200" s="63"/>
      <c r="AA200" s="63"/>
      <c r="AC200" s="31"/>
      <c r="AN200" s="32"/>
      <c r="AO200" s="98"/>
    </row>
    <row r="201" spans="6:41">
      <c r="F201" s="31"/>
      <c r="M201" s="31"/>
      <c r="U201" s="31"/>
      <c r="W201" s="63"/>
      <c r="AA201" s="63"/>
      <c r="AC201" s="31"/>
      <c r="AN201" s="32"/>
      <c r="AO201" s="98"/>
    </row>
    <row r="202" spans="6:41">
      <c r="F202" s="31"/>
      <c r="M202" s="31"/>
      <c r="U202" s="31"/>
      <c r="W202" s="63"/>
      <c r="AA202" s="63"/>
      <c r="AC202" s="31"/>
      <c r="AN202" s="32"/>
      <c r="AO202" s="98"/>
    </row>
    <row r="203" spans="6:41">
      <c r="F203" s="31"/>
      <c r="M203" s="31"/>
      <c r="U203" s="31"/>
      <c r="W203" s="63"/>
      <c r="AA203" s="63"/>
      <c r="AC203" s="31"/>
      <c r="AN203" s="32"/>
      <c r="AO203" s="98"/>
    </row>
    <row r="204" spans="6:41">
      <c r="F204" s="31"/>
      <c r="M204" s="31"/>
      <c r="U204" s="31"/>
      <c r="W204" s="63"/>
      <c r="AA204" s="63"/>
      <c r="AC204" s="31"/>
      <c r="AN204" s="32"/>
      <c r="AO204" s="98"/>
    </row>
    <row r="205" spans="6:41">
      <c r="F205" s="31"/>
      <c r="M205" s="31"/>
      <c r="U205" s="31"/>
      <c r="W205" s="63"/>
      <c r="AA205" s="63"/>
      <c r="AC205" s="31"/>
      <c r="AN205" s="32"/>
      <c r="AO205" s="98"/>
    </row>
    <row r="206" spans="6:41">
      <c r="F206" s="31"/>
      <c r="M206" s="31"/>
      <c r="U206" s="31"/>
      <c r="W206" s="63"/>
      <c r="AA206" s="63"/>
      <c r="AC206" s="31"/>
      <c r="AN206" s="32"/>
      <c r="AO206" s="98"/>
    </row>
    <row r="207" spans="6:41">
      <c r="F207" s="31"/>
      <c r="M207" s="31"/>
      <c r="U207" s="31"/>
      <c r="W207" s="63"/>
      <c r="AA207" s="63"/>
      <c r="AC207" s="31"/>
      <c r="AN207" s="32"/>
      <c r="AO207" s="98"/>
    </row>
    <row r="208" spans="6:41">
      <c r="F208" s="31"/>
      <c r="M208" s="31"/>
      <c r="U208" s="31"/>
      <c r="W208" s="63"/>
      <c r="AA208" s="63"/>
      <c r="AC208" s="31"/>
      <c r="AN208" s="32"/>
      <c r="AO208" s="98"/>
    </row>
    <row r="209" spans="6:41">
      <c r="F209" s="31"/>
      <c r="M209" s="31"/>
      <c r="U209" s="31"/>
      <c r="W209" s="63"/>
      <c r="AA209" s="63"/>
      <c r="AC209" s="31"/>
      <c r="AN209" s="32"/>
      <c r="AO209" s="98"/>
    </row>
    <row r="210" spans="6:41">
      <c r="F210" s="31"/>
      <c r="M210" s="31"/>
      <c r="U210" s="31"/>
      <c r="W210" s="63"/>
      <c r="AA210" s="63"/>
      <c r="AC210" s="31"/>
      <c r="AN210" s="32"/>
      <c r="AO210" s="98"/>
    </row>
    <row r="211" spans="6:41">
      <c r="F211" s="31"/>
      <c r="M211" s="31"/>
      <c r="U211" s="31"/>
      <c r="W211" s="63"/>
      <c r="AA211" s="63"/>
      <c r="AC211" s="31"/>
      <c r="AN211" s="32"/>
      <c r="AO211" s="98"/>
    </row>
    <row r="212" spans="6:41">
      <c r="F212" s="31"/>
      <c r="M212" s="31"/>
      <c r="U212" s="31"/>
      <c r="W212" s="63"/>
      <c r="AA212" s="63"/>
      <c r="AC212" s="31"/>
      <c r="AN212" s="32"/>
      <c r="AO212" s="98"/>
    </row>
    <row r="213" spans="6:41">
      <c r="F213" s="31"/>
      <c r="M213" s="31"/>
      <c r="U213" s="31"/>
      <c r="W213" s="63"/>
      <c r="AA213" s="63"/>
      <c r="AC213" s="31"/>
      <c r="AN213" s="32"/>
      <c r="AO213" s="98"/>
    </row>
    <row r="214" spans="6:41">
      <c r="F214" s="31"/>
      <c r="M214" s="31"/>
      <c r="U214" s="31"/>
      <c r="W214" s="63"/>
      <c r="AA214" s="63"/>
      <c r="AC214" s="31"/>
      <c r="AN214" s="32"/>
      <c r="AO214" s="98"/>
    </row>
    <row r="215" spans="6:41">
      <c r="F215" s="31"/>
      <c r="M215" s="31"/>
      <c r="U215" s="31"/>
      <c r="W215" s="63"/>
      <c r="AA215" s="63"/>
      <c r="AC215" s="31"/>
      <c r="AN215" s="32"/>
      <c r="AO215" s="98"/>
    </row>
    <row r="216" spans="6:41">
      <c r="F216" s="31"/>
      <c r="M216" s="31"/>
      <c r="U216" s="31"/>
      <c r="W216" s="63"/>
      <c r="AA216" s="63"/>
      <c r="AC216" s="31"/>
      <c r="AN216" s="32"/>
      <c r="AO216" s="98"/>
    </row>
    <row r="217" spans="6:41">
      <c r="F217" s="31"/>
      <c r="M217" s="31"/>
      <c r="U217" s="31"/>
      <c r="W217" s="63"/>
      <c r="AA217" s="63"/>
      <c r="AC217" s="31"/>
      <c r="AN217" s="32"/>
      <c r="AO217" s="98"/>
    </row>
    <row r="218" spans="6:41">
      <c r="F218" s="31"/>
      <c r="M218" s="31"/>
      <c r="U218" s="31"/>
      <c r="W218" s="63"/>
      <c r="AA218" s="63"/>
      <c r="AC218" s="31"/>
      <c r="AN218" s="32"/>
      <c r="AO218" s="98"/>
    </row>
    <row r="219" spans="6:41">
      <c r="F219" s="31"/>
      <c r="M219" s="31"/>
      <c r="U219" s="31"/>
      <c r="W219" s="63"/>
      <c r="AA219" s="63"/>
      <c r="AC219" s="31"/>
      <c r="AN219" s="32"/>
      <c r="AO219" s="98"/>
    </row>
    <row r="220" spans="6:41">
      <c r="F220" s="31"/>
      <c r="M220" s="31"/>
      <c r="U220" s="31"/>
      <c r="W220" s="63"/>
      <c r="AA220" s="63"/>
      <c r="AC220" s="31"/>
      <c r="AN220" s="32"/>
      <c r="AO220" s="98"/>
    </row>
    <row r="221" spans="6:41">
      <c r="F221" s="31"/>
      <c r="M221" s="31"/>
      <c r="U221" s="31"/>
      <c r="W221" s="63"/>
      <c r="AA221" s="63"/>
      <c r="AC221" s="31"/>
      <c r="AN221" s="32"/>
      <c r="AO221" s="98"/>
    </row>
    <row r="222" spans="6:41">
      <c r="F222" s="31"/>
      <c r="M222" s="31"/>
      <c r="U222" s="31"/>
      <c r="W222" s="63"/>
      <c r="AA222" s="63"/>
      <c r="AC222" s="31"/>
      <c r="AN222" s="32"/>
      <c r="AO222" s="98"/>
    </row>
    <row r="223" spans="6:41">
      <c r="F223" s="31"/>
      <c r="M223" s="31"/>
      <c r="U223" s="31"/>
      <c r="W223" s="63"/>
      <c r="AA223" s="63"/>
      <c r="AC223" s="31"/>
      <c r="AN223" s="32"/>
      <c r="AO223" s="98"/>
    </row>
    <row r="224" spans="6:41">
      <c r="F224" s="31"/>
      <c r="M224" s="31"/>
      <c r="U224" s="31"/>
      <c r="W224" s="63"/>
      <c r="AA224" s="63"/>
      <c r="AC224" s="31"/>
      <c r="AN224" s="32"/>
      <c r="AO224" s="98"/>
    </row>
    <row r="225" spans="6:41">
      <c r="F225" s="31"/>
      <c r="M225" s="31"/>
      <c r="U225" s="31"/>
      <c r="W225" s="63"/>
      <c r="AA225" s="63"/>
      <c r="AC225" s="31"/>
      <c r="AN225" s="32"/>
      <c r="AO225" s="98"/>
    </row>
    <row r="226" spans="6:41">
      <c r="F226" s="31"/>
      <c r="M226" s="31"/>
      <c r="U226" s="31"/>
      <c r="W226" s="63"/>
      <c r="AA226" s="63"/>
      <c r="AC226" s="31"/>
      <c r="AN226" s="32"/>
      <c r="AO226" s="98"/>
    </row>
    <row r="227" spans="6:41">
      <c r="F227" s="31"/>
      <c r="M227" s="31"/>
      <c r="U227" s="31"/>
      <c r="W227" s="63"/>
      <c r="AA227" s="63"/>
      <c r="AC227" s="31"/>
      <c r="AN227" s="32"/>
      <c r="AO227" s="98"/>
    </row>
    <row r="228" spans="6:41">
      <c r="F228" s="31"/>
      <c r="M228" s="31"/>
      <c r="U228" s="31"/>
      <c r="W228" s="63"/>
      <c r="AA228" s="63"/>
      <c r="AC228" s="31"/>
      <c r="AN228" s="32"/>
      <c r="AO228" s="98"/>
    </row>
    <row r="229" spans="6:41">
      <c r="F229" s="31"/>
      <c r="M229" s="31"/>
      <c r="U229" s="31"/>
      <c r="W229" s="63"/>
      <c r="AA229" s="63"/>
      <c r="AC229" s="31"/>
      <c r="AN229" s="32"/>
      <c r="AO229" s="98"/>
    </row>
    <row r="230" spans="6:41">
      <c r="F230" s="31"/>
      <c r="M230" s="31"/>
      <c r="U230" s="31"/>
      <c r="W230" s="63"/>
      <c r="AA230" s="63"/>
      <c r="AC230" s="31"/>
      <c r="AN230" s="32"/>
      <c r="AO230" s="98"/>
    </row>
    <row r="231" spans="6:41">
      <c r="F231" s="31"/>
      <c r="M231" s="31"/>
      <c r="U231" s="31"/>
      <c r="W231" s="63"/>
      <c r="AA231" s="63"/>
      <c r="AC231" s="31"/>
      <c r="AN231" s="32"/>
      <c r="AO231" s="98"/>
    </row>
    <row r="232" spans="6:41">
      <c r="F232" s="31"/>
      <c r="M232" s="31"/>
      <c r="U232" s="31"/>
      <c r="W232" s="63"/>
      <c r="AA232" s="63"/>
      <c r="AC232" s="31"/>
      <c r="AN232" s="32"/>
      <c r="AO232" s="98"/>
    </row>
    <row r="233" spans="6:41">
      <c r="F233" s="31"/>
      <c r="M233" s="31"/>
      <c r="U233" s="31"/>
      <c r="W233" s="63"/>
      <c r="AA233" s="63"/>
      <c r="AC233" s="31"/>
      <c r="AN233" s="32"/>
      <c r="AO233" s="98"/>
    </row>
    <row r="234" spans="6:41">
      <c r="F234" s="31"/>
      <c r="M234" s="31"/>
      <c r="U234" s="31"/>
      <c r="W234" s="63"/>
      <c r="AA234" s="63"/>
      <c r="AC234" s="31"/>
      <c r="AN234" s="32"/>
      <c r="AO234" s="98"/>
    </row>
    <row r="235" spans="6:41">
      <c r="F235" s="31"/>
      <c r="M235" s="31"/>
      <c r="U235" s="31"/>
      <c r="W235" s="63"/>
      <c r="AA235" s="63"/>
      <c r="AC235" s="31"/>
      <c r="AN235" s="32"/>
      <c r="AO235" s="98"/>
    </row>
    <row r="236" spans="6:41">
      <c r="F236" s="31"/>
      <c r="M236" s="31"/>
      <c r="U236" s="31"/>
      <c r="W236" s="63"/>
      <c r="AA236" s="63"/>
      <c r="AC236" s="31"/>
      <c r="AN236" s="32"/>
      <c r="AO236" s="98"/>
    </row>
    <row r="237" spans="6:41">
      <c r="F237" s="31"/>
      <c r="M237" s="31"/>
      <c r="U237" s="31"/>
      <c r="W237" s="63"/>
      <c r="AA237" s="63"/>
      <c r="AC237" s="31"/>
      <c r="AN237" s="32"/>
      <c r="AO237" s="98"/>
    </row>
    <row r="238" spans="6:41">
      <c r="F238" s="31"/>
      <c r="M238" s="31"/>
      <c r="U238" s="31"/>
      <c r="W238" s="63"/>
      <c r="AA238" s="63"/>
      <c r="AC238" s="31"/>
      <c r="AN238" s="32"/>
      <c r="AO238" s="98"/>
    </row>
    <row r="239" spans="6:41">
      <c r="F239" s="31"/>
      <c r="M239" s="31"/>
      <c r="U239" s="31"/>
      <c r="W239" s="63"/>
      <c r="AA239" s="63"/>
      <c r="AC239" s="31"/>
      <c r="AN239" s="32"/>
      <c r="AO239" s="98"/>
    </row>
    <row r="240" spans="6:41">
      <c r="F240" s="31"/>
      <c r="M240" s="31"/>
      <c r="U240" s="31"/>
      <c r="W240" s="63"/>
      <c r="AA240" s="63"/>
      <c r="AC240" s="31"/>
      <c r="AN240" s="32"/>
      <c r="AO240" s="98"/>
    </row>
    <row r="241" spans="6:41">
      <c r="F241" s="31"/>
      <c r="M241" s="31"/>
      <c r="U241" s="31"/>
      <c r="W241" s="63"/>
      <c r="AA241" s="63"/>
      <c r="AC241" s="31"/>
      <c r="AN241" s="32"/>
      <c r="AO241" s="98"/>
    </row>
    <row r="242" spans="6:41">
      <c r="F242" s="31"/>
      <c r="M242" s="31"/>
      <c r="U242" s="31"/>
      <c r="W242" s="63"/>
      <c r="AA242" s="63"/>
      <c r="AC242" s="31"/>
      <c r="AN242" s="32"/>
      <c r="AO242" s="98"/>
    </row>
    <row r="243" spans="6:41">
      <c r="F243" s="31"/>
      <c r="M243" s="31"/>
      <c r="U243" s="31"/>
      <c r="W243" s="63"/>
      <c r="AA243" s="63"/>
      <c r="AC243" s="31"/>
      <c r="AN243" s="32"/>
      <c r="AO243" s="98"/>
    </row>
    <row r="244" spans="6:41">
      <c r="F244" s="31"/>
      <c r="M244" s="31"/>
      <c r="U244" s="31"/>
      <c r="W244" s="63"/>
      <c r="AA244" s="63"/>
      <c r="AC244" s="31"/>
      <c r="AN244" s="32"/>
      <c r="AO244" s="98"/>
    </row>
    <row r="245" spans="6:41">
      <c r="F245" s="31"/>
      <c r="M245" s="31"/>
      <c r="U245" s="31"/>
      <c r="W245" s="63"/>
      <c r="AA245" s="63"/>
      <c r="AC245" s="31"/>
      <c r="AN245" s="32"/>
      <c r="AO245" s="98"/>
    </row>
    <row r="246" spans="6:41">
      <c r="F246" s="31"/>
      <c r="M246" s="31"/>
      <c r="U246" s="31"/>
      <c r="W246" s="63"/>
      <c r="AA246" s="63"/>
      <c r="AC246" s="31"/>
      <c r="AN246" s="32"/>
      <c r="AO246" s="98"/>
    </row>
    <row r="247" spans="6:41">
      <c r="F247" s="31"/>
      <c r="M247" s="31"/>
      <c r="U247" s="31"/>
      <c r="W247" s="63"/>
      <c r="AA247" s="63"/>
      <c r="AC247" s="31"/>
      <c r="AN247" s="32"/>
      <c r="AO247" s="98"/>
    </row>
    <row r="248" spans="6:41">
      <c r="F248" s="31"/>
      <c r="M248" s="31"/>
      <c r="U248" s="31"/>
      <c r="W248" s="63"/>
      <c r="AA248" s="63"/>
      <c r="AC248" s="31"/>
      <c r="AN248" s="32"/>
      <c r="AO248" s="98"/>
    </row>
    <row r="249" spans="6:41">
      <c r="F249" s="31"/>
      <c r="M249" s="31"/>
      <c r="U249" s="31"/>
      <c r="W249" s="63"/>
      <c r="AA249" s="63"/>
      <c r="AC249" s="31"/>
      <c r="AN249" s="32"/>
      <c r="AO249" s="98"/>
    </row>
    <row r="250" spans="6:41">
      <c r="F250" s="31"/>
      <c r="M250" s="31"/>
      <c r="U250" s="31"/>
      <c r="W250" s="63"/>
      <c r="AA250" s="63"/>
      <c r="AC250" s="31"/>
      <c r="AN250" s="32"/>
      <c r="AO250" s="98"/>
    </row>
    <row r="251" spans="6:41">
      <c r="F251" s="31"/>
      <c r="M251" s="31"/>
      <c r="U251" s="31"/>
      <c r="W251" s="63"/>
      <c r="AA251" s="63"/>
      <c r="AC251" s="31"/>
      <c r="AN251" s="32"/>
      <c r="AO251" s="98"/>
    </row>
    <row r="252" spans="6:41">
      <c r="F252" s="31"/>
      <c r="M252" s="31"/>
      <c r="U252" s="31"/>
      <c r="W252" s="63"/>
      <c r="AA252" s="63"/>
      <c r="AC252" s="31"/>
      <c r="AN252" s="32"/>
      <c r="AO252" s="98"/>
    </row>
    <row r="253" spans="6:41">
      <c r="F253" s="31"/>
      <c r="M253" s="31"/>
      <c r="U253" s="31"/>
      <c r="W253" s="63"/>
      <c r="AA253" s="63"/>
      <c r="AC253" s="31"/>
      <c r="AN253" s="32"/>
      <c r="AO253" s="98"/>
    </row>
    <row r="254" spans="6:41">
      <c r="F254" s="31"/>
      <c r="M254" s="31"/>
      <c r="U254" s="31"/>
      <c r="W254" s="63"/>
      <c r="AA254" s="63"/>
      <c r="AC254" s="31"/>
      <c r="AN254" s="32"/>
      <c r="AO254" s="98"/>
    </row>
    <row r="255" spans="6:41">
      <c r="F255" s="31"/>
      <c r="M255" s="31"/>
      <c r="U255" s="31"/>
      <c r="W255" s="63"/>
      <c r="AA255" s="63"/>
      <c r="AC255" s="31"/>
      <c r="AN255" s="32"/>
      <c r="AO255" s="98"/>
    </row>
    <row r="256" spans="6:41">
      <c r="F256" s="31"/>
      <c r="M256" s="31"/>
      <c r="U256" s="31"/>
      <c r="W256" s="63"/>
      <c r="AA256" s="63"/>
      <c r="AC256" s="31"/>
      <c r="AN256" s="32"/>
      <c r="AO256" s="98"/>
    </row>
    <row r="257" spans="6:41">
      <c r="F257" s="31"/>
      <c r="M257" s="31"/>
      <c r="U257" s="31"/>
      <c r="W257" s="63"/>
      <c r="AA257" s="63"/>
      <c r="AC257" s="31"/>
      <c r="AN257" s="32"/>
      <c r="AO257" s="98"/>
    </row>
    <row r="258" spans="6:41">
      <c r="F258" s="31"/>
      <c r="M258" s="31"/>
      <c r="U258" s="31"/>
      <c r="W258" s="63"/>
      <c r="AA258" s="63"/>
      <c r="AC258" s="31"/>
      <c r="AN258" s="32"/>
      <c r="AO258" s="98"/>
    </row>
    <row r="259" spans="6:41">
      <c r="F259" s="31"/>
      <c r="M259" s="31"/>
      <c r="U259" s="31"/>
      <c r="W259" s="63"/>
      <c r="AA259" s="63"/>
      <c r="AC259" s="31"/>
      <c r="AN259" s="32"/>
      <c r="AO259" s="98"/>
    </row>
    <row r="260" spans="6:41">
      <c r="F260" s="31"/>
      <c r="M260" s="31"/>
      <c r="U260" s="31"/>
      <c r="W260" s="63"/>
      <c r="AA260" s="63"/>
      <c r="AC260" s="31"/>
      <c r="AN260" s="32"/>
      <c r="AO260" s="98"/>
    </row>
    <row r="261" spans="6:41">
      <c r="F261" s="31"/>
      <c r="M261" s="31"/>
      <c r="U261" s="31"/>
      <c r="W261" s="63"/>
      <c r="AA261" s="63"/>
      <c r="AC261" s="31"/>
      <c r="AN261" s="32"/>
      <c r="AO261" s="98"/>
    </row>
    <row r="262" spans="6:41">
      <c r="F262" s="31"/>
      <c r="M262" s="31"/>
      <c r="U262" s="31"/>
      <c r="W262" s="63"/>
      <c r="AA262" s="63"/>
      <c r="AC262" s="31"/>
      <c r="AN262" s="32"/>
      <c r="AO262" s="98"/>
    </row>
    <row r="263" spans="6:41">
      <c r="F263" s="31"/>
      <c r="M263" s="31"/>
      <c r="U263" s="31"/>
      <c r="W263" s="63"/>
      <c r="AA263" s="63"/>
      <c r="AC263" s="31"/>
      <c r="AN263" s="32"/>
      <c r="AO263" s="98"/>
    </row>
    <row r="264" spans="6:41">
      <c r="F264" s="31"/>
      <c r="M264" s="31"/>
      <c r="U264" s="31"/>
      <c r="W264" s="63"/>
      <c r="AA264" s="63"/>
      <c r="AC264" s="31"/>
      <c r="AN264" s="32"/>
      <c r="AO264" s="98"/>
    </row>
    <row r="265" spans="6:41">
      <c r="F265" s="31"/>
      <c r="M265" s="31"/>
      <c r="U265" s="31"/>
      <c r="W265" s="63"/>
      <c r="AA265" s="63"/>
      <c r="AC265" s="31"/>
      <c r="AN265" s="32"/>
      <c r="AO265" s="98"/>
    </row>
    <row r="266" spans="6:41">
      <c r="F266" s="31"/>
      <c r="M266" s="31"/>
      <c r="U266" s="31"/>
      <c r="W266" s="63"/>
      <c r="AA266" s="63"/>
      <c r="AC266" s="31"/>
      <c r="AN266" s="32"/>
      <c r="AO266" s="98"/>
    </row>
    <row r="267" spans="6:41">
      <c r="F267" s="31"/>
      <c r="M267" s="31"/>
      <c r="U267" s="31"/>
      <c r="W267" s="63"/>
      <c r="AA267" s="63"/>
      <c r="AC267" s="31"/>
      <c r="AN267" s="32"/>
      <c r="AO267" s="98"/>
    </row>
    <row r="268" spans="6:41">
      <c r="F268" s="31"/>
      <c r="M268" s="31"/>
      <c r="U268" s="31"/>
      <c r="W268" s="63"/>
      <c r="AA268" s="63"/>
      <c r="AC268" s="31"/>
      <c r="AN268" s="32"/>
      <c r="AO268" s="98"/>
    </row>
    <row r="269" spans="6:41">
      <c r="F269" s="31"/>
      <c r="M269" s="31"/>
      <c r="U269" s="31"/>
      <c r="W269" s="63"/>
      <c r="AA269" s="63"/>
      <c r="AC269" s="31"/>
      <c r="AN269" s="32"/>
      <c r="AO269" s="98"/>
    </row>
    <row r="270" spans="6:41">
      <c r="F270" s="31"/>
      <c r="M270" s="31"/>
      <c r="U270" s="31"/>
      <c r="W270" s="63"/>
      <c r="AA270" s="63"/>
      <c r="AC270" s="31"/>
      <c r="AN270" s="32"/>
      <c r="AO270" s="98"/>
    </row>
    <row r="271" spans="6:41">
      <c r="F271" s="31"/>
      <c r="M271" s="31"/>
      <c r="U271" s="31"/>
      <c r="W271" s="63"/>
      <c r="AA271" s="63"/>
      <c r="AC271" s="31"/>
      <c r="AN271" s="32"/>
      <c r="AO271" s="98"/>
    </row>
    <row r="272" spans="6:41">
      <c r="F272" s="31"/>
      <c r="M272" s="31"/>
      <c r="U272" s="31"/>
      <c r="W272" s="63"/>
      <c r="AA272" s="63"/>
      <c r="AC272" s="31"/>
      <c r="AN272" s="32"/>
      <c r="AO272" s="98"/>
    </row>
    <row r="273" spans="6:41">
      <c r="F273" s="31"/>
      <c r="M273" s="31"/>
      <c r="U273" s="31"/>
      <c r="W273" s="63"/>
      <c r="AA273" s="63"/>
      <c r="AC273" s="31"/>
      <c r="AN273" s="32"/>
      <c r="AO273" s="98"/>
    </row>
    <row r="274" spans="6:41">
      <c r="F274" s="31"/>
      <c r="M274" s="31"/>
      <c r="U274" s="31"/>
      <c r="W274" s="63"/>
      <c r="AA274" s="63"/>
      <c r="AC274" s="31"/>
      <c r="AN274" s="32"/>
      <c r="AO274" s="98"/>
    </row>
    <row r="275" spans="6:41">
      <c r="F275" s="31"/>
      <c r="M275" s="31"/>
      <c r="U275" s="31"/>
      <c r="W275" s="63"/>
      <c r="AA275" s="63"/>
      <c r="AC275" s="31"/>
      <c r="AN275" s="32"/>
      <c r="AO275" s="98"/>
    </row>
    <row r="276" spans="6:41">
      <c r="F276" s="31"/>
      <c r="M276" s="31"/>
      <c r="U276" s="31"/>
      <c r="W276" s="63"/>
      <c r="AA276" s="63"/>
      <c r="AC276" s="31"/>
      <c r="AN276" s="32"/>
      <c r="AO276" s="98"/>
    </row>
    <row r="277" spans="6:41">
      <c r="F277" s="31"/>
      <c r="M277" s="31"/>
      <c r="U277" s="31"/>
      <c r="W277" s="63"/>
      <c r="AA277" s="63"/>
      <c r="AC277" s="31"/>
      <c r="AN277" s="32"/>
      <c r="AO277" s="98"/>
    </row>
    <row r="278" spans="6:41">
      <c r="F278" s="31"/>
      <c r="M278" s="31"/>
      <c r="U278" s="31"/>
      <c r="W278" s="63"/>
      <c r="AA278" s="63"/>
      <c r="AC278" s="31"/>
      <c r="AN278" s="32"/>
      <c r="AO278" s="98"/>
    </row>
    <row r="279" spans="6:41">
      <c r="F279" s="31"/>
      <c r="M279" s="31"/>
      <c r="U279" s="31"/>
      <c r="W279" s="63"/>
      <c r="AA279" s="63"/>
      <c r="AC279" s="31"/>
      <c r="AN279" s="32"/>
      <c r="AO279" s="98"/>
    </row>
    <row r="280" spans="6:41">
      <c r="F280" s="31"/>
      <c r="M280" s="31"/>
      <c r="U280" s="31"/>
      <c r="W280" s="63"/>
      <c r="AA280" s="63"/>
      <c r="AC280" s="31"/>
      <c r="AN280" s="32"/>
      <c r="AO280" s="98"/>
    </row>
    <row r="281" spans="6:41">
      <c r="F281" s="31"/>
      <c r="M281" s="31"/>
      <c r="U281" s="31"/>
      <c r="W281" s="63"/>
      <c r="AA281" s="63"/>
      <c r="AC281" s="31"/>
      <c r="AN281" s="32"/>
      <c r="AO281" s="98"/>
    </row>
    <row r="282" spans="6:41">
      <c r="F282" s="31"/>
      <c r="M282" s="31"/>
      <c r="U282" s="31"/>
      <c r="W282" s="63"/>
      <c r="AA282" s="63"/>
      <c r="AC282" s="31"/>
      <c r="AN282" s="32"/>
      <c r="AO282" s="98"/>
    </row>
    <row r="283" spans="6:41">
      <c r="F283" s="31"/>
      <c r="M283" s="31"/>
      <c r="U283" s="31"/>
      <c r="W283" s="63"/>
      <c r="AA283" s="63"/>
      <c r="AC283" s="31"/>
      <c r="AN283" s="32"/>
      <c r="AO283" s="98"/>
    </row>
    <row r="284" spans="6:41">
      <c r="F284" s="31"/>
      <c r="M284" s="31"/>
      <c r="U284" s="31"/>
      <c r="W284" s="63"/>
      <c r="AA284" s="63"/>
      <c r="AC284" s="31"/>
      <c r="AN284" s="32"/>
      <c r="AO284" s="98"/>
    </row>
    <row r="285" spans="6:41">
      <c r="F285" s="31"/>
      <c r="M285" s="31"/>
      <c r="U285" s="31"/>
      <c r="W285" s="63"/>
      <c r="AA285" s="63"/>
      <c r="AC285" s="31"/>
      <c r="AN285" s="32"/>
      <c r="AO285" s="98"/>
    </row>
    <row r="286" spans="6:41">
      <c r="F286" s="31"/>
      <c r="M286" s="31"/>
      <c r="U286" s="31"/>
      <c r="W286" s="63"/>
      <c r="AA286" s="63"/>
      <c r="AC286" s="31"/>
      <c r="AN286" s="32"/>
      <c r="AO286" s="98"/>
    </row>
    <row r="287" spans="6:41">
      <c r="F287" s="31"/>
      <c r="M287" s="31"/>
      <c r="U287" s="31"/>
      <c r="W287" s="63"/>
      <c r="AA287" s="63"/>
      <c r="AC287" s="31"/>
      <c r="AN287" s="32"/>
      <c r="AO287" s="98"/>
    </row>
    <row r="288" spans="6:41">
      <c r="F288" s="31"/>
      <c r="M288" s="31"/>
      <c r="U288" s="31"/>
      <c r="W288" s="63"/>
      <c r="AA288" s="63"/>
      <c r="AC288" s="31"/>
      <c r="AN288" s="32"/>
      <c r="AO288" s="98"/>
    </row>
    <row r="289" spans="6:41">
      <c r="F289" s="31"/>
      <c r="M289" s="31"/>
      <c r="U289" s="31"/>
      <c r="W289" s="63"/>
      <c r="AA289" s="63"/>
      <c r="AC289" s="31"/>
      <c r="AN289" s="32"/>
      <c r="AO289" s="98"/>
    </row>
    <row r="290" spans="6:41">
      <c r="F290" s="31"/>
      <c r="M290" s="31"/>
      <c r="U290" s="31"/>
      <c r="W290" s="63"/>
      <c r="AA290" s="63"/>
      <c r="AC290" s="31"/>
      <c r="AN290" s="32"/>
      <c r="AO290" s="98"/>
    </row>
    <row r="291" spans="6:41">
      <c r="F291" s="31"/>
      <c r="M291" s="31"/>
      <c r="U291" s="31"/>
      <c r="W291" s="63"/>
      <c r="AA291" s="63"/>
      <c r="AC291" s="31"/>
      <c r="AN291" s="32"/>
      <c r="AO291" s="98"/>
    </row>
    <row r="292" spans="6:41">
      <c r="F292" s="31"/>
      <c r="M292" s="31"/>
      <c r="U292" s="31"/>
      <c r="W292" s="63"/>
      <c r="AA292" s="63"/>
      <c r="AC292" s="31"/>
      <c r="AN292" s="32"/>
      <c r="AO292" s="98"/>
    </row>
    <row r="293" spans="6:41">
      <c r="F293" s="31"/>
      <c r="M293" s="31"/>
      <c r="U293" s="31"/>
      <c r="W293" s="63"/>
      <c r="AA293" s="63"/>
      <c r="AC293" s="31"/>
      <c r="AN293" s="32"/>
      <c r="AO293" s="98"/>
    </row>
    <row r="294" spans="6:41">
      <c r="F294" s="31"/>
      <c r="M294" s="31"/>
      <c r="U294" s="31"/>
      <c r="W294" s="63"/>
      <c r="AA294" s="63"/>
      <c r="AC294" s="31"/>
      <c r="AN294" s="32"/>
      <c r="AO294" s="98"/>
    </row>
    <row r="295" spans="6:41">
      <c r="F295" s="31"/>
      <c r="M295" s="31"/>
      <c r="U295" s="31"/>
      <c r="W295" s="63"/>
      <c r="AA295" s="63"/>
      <c r="AC295" s="31"/>
      <c r="AN295" s="32"/>
      <c r="AO295" s="98"/>
    </row>
    <row r="296" spans="6:41">
      <c r="F296" s="31"/>
      <c r="M296" s="31"/>
      <c r="U296" s="31"/>
      <c r="W296" s="63"/>
      <c r="AA296" s="63"/>
      <c r="AC296" s="31"/>
      <c r="AN296" s="32"/>
      <c r="AO296" s="98"/>
    </row>
    <row r="297" spans="6:41">
      <c r="F297" s="31"/>
      <c r="M297" s="31"/>
      <c r="U297" s="31"/>
      <c r="W297" s="63"/>
      <c r="AA297" s="63"/>
      <c r="AC297" s="31"/>
      <c r="AN297" s="32"/>
      <c r="AO297" s="98"/>
    </row>
    <row r="298" spans="6:41">
      <c r="F298" s="31"/>
      <c r="M298" s="31"/>
      <c r="U298" s="31"/>
      <c r="W298" s="63"/>
      <c r="AA298" s="63"/>
      <c r="AC298" s="31"/>
      <c r="AN298" s="32"/>
      <c r="AO298" s="98"/>
    </row>
    <row r="299" spans="6:41">
      <c r="F299" s="31"/>
      <c r="M299" s="31"/>
      <c r="U299" s="31"/>
      <c r="W299" s="63"/>
      <c r="AA299" s="63"/>
      <c r="AC299" s="31"/>
      <c r="AN299" s="32"/>
      <c r="AO299" s="98"/>
    </row>
    <row r="300" spans="6:41">
      <c r="F300" s="31"/>
      <c r="M300" s="31"/>
      <c r="U300" s="31"/>
      <c r="W300" s="63"/>
      <c r="AA300" s="63"/>
      <c r="AC300" s="31"/>
      <c r="AN300" s="32"/>
      <c r="AO300" s="98"/>
    </row>
    <row r="301" spans="6:41">
      <c r="F301" s="31"/>
      <c r="M301" s="31"/>
      <c r="U301" s="31"/>
      <c r="W301" s="63"/>
      <c r="AA301" s="63"/>
      <c r="AC301" s="31"/>
      <c r="AN301" s="32"/>
      <c r="AO301" s="98"/>
    </row>
    <row r="302" spans="6:41">
      <c r="F302" s="31"/>
      <c r="M302" s="31"/>
      <c r="U302" s="31"/>
      <c r="W302" s="63"/>
      <c r="AA302" s="63"/>
      <c r="AC302" s="31"/>
      <c r="AN302" s="32"/>
      <c r="AO302" s="98"/>
    </row>
    <row r="303" spans="6:41">
      <c r="F303" s="31"/>
      <c r="M303" s="31"/>
      <c r="U303" s="31"/>
      <c r="W303" s="63"/>
      <c r="AA303" s="63"/>
      <c r="AC303" s="31"/>
      <c r="AN303" s="32"/>
      <c r="AO303" s="98"/>
    </row>
    <row r="304" spans="6:41">
      <c r="F304" s="31"/>
      <c r="M304" s="31"/>
      <c r="U304" s="31"/>
      <c r="W304" s="63"/>
      <c r="AA304" s="63"/>
      <c r="AC304" s="31"/>
      <c r="AN304" s="32"/>
      <c r="AO304" s="98"/>
    </row>
    <row r="305" spans="6:41">
      <c r="F305" s="31"/>
      <c r="M305" s="31"/>
      <c r="U305" s="31"/>
      <c r="W305" s="63"/>
      <c r="AA305" s="63"/>
      <c r="AC305" s="31"/>
      <c r="AN305" s="32"/>
      <c r="AO305" s="98"/>
    </row>
    <row r="306" spans="6:41">
      <c r="F306" s="31"/>
      <c r="M306" s="31"/>
      <c r="U306" s="31"/>
      <c r="W306" s="63"/>
      <c r="AA306" s="63"/>
      <c r="AC306" s="31"/>
      <c r="AN306" s="32"/>
      <c r="AO306" s="98"/>
    </row>
    <row r="307" spans="6:41">
      <c r="F307" s="31"/>
      <c r="M307" s="31"/>
      <c r="U307" s="31"/>
      <c r="W307" s="63"/>
      <c r="AA307" s="63"/>
      <c r="AC307" s="31"/>
      <c r="AN307" s="32"/>
      <c r="AO307" s="98"/>
    </row>
    <row r="308" spans="6:41">
      <c r="F308" s="31"/>
      <c r="M308" s="31"/>
      <c r="U308" s="31"/>
      <c r="W308" s="63"/>
      <c r="AA308" s="63"/>
      <c r="AC308" s="31"/>
      <c r="AN308" s="32"/>
      <c r="AO308" s="98"/>
    </row>
    <row r="309" spans="6:41">
      <c r="F309" s="31"/>
      <c r="M309" s="31"/>
      <c r="U309" s="31"/>
      <c r="W309" s="63"/>
      <c r="AA309" s="63"/>
      <c r="AC309" s="31"/>
      <c r="AN309" s="32"/>
      <c r="AO309" s="98"/>
    </row>
    <row r="310" spans="6:41">
      <c r="F310" s="31"/>
      <c r="M310" s="31"/>
      <c r="U310" s="31"/>
      <c r="W310" s="63"/>
      <c r="AA310" s="63"/>
      <c r="AC310" s="31"/>
      <c r="AN310" s="32"/>
      <c r="AO310" s="98"/>
    </row>
    <row r="311" spans="6:41">
      <c r="F311" s="31"/>
      <c r="M311" s="31"/>
      <c r="U311" s="31"/>
      <c r="W311" s="63"/>
      <c r="AA311" s="63"/>
      <c r="AC311" s="31"/>
      <c r="AN311" s="32"/>
      <c r="AO311" s="98"/>
    </row>
    <row r="312" spans="6:41">
      <c r="F312" s="31"/>
      <c r="M312" s="31"/>
      <c r="U312" s="31"/>
      <c r="W312" s="63"/>
      <c r="AA312" s="63"/>
      <c r="AC312" s="31"/>
      <c r="AN312" s="32"/>
      <c r="AO312" s="98"/>
    </row>
    <row r="313" spans="6:41">
      <c r="F313" s="31"/>
      <c r="M313" s="31"/>
      <c r="U313" s="31"/>
      <c r="W313" s="63"/>
      <c r="AA313" s="63"/>
      <c r="AC313" s="31"/>
      <c r="AN313" s="32"/>
      <c r="AO313" s="98"/>
    </row>
    <row r="314" spans="6:41">
      <c r="F314" s="31"/>
      <c r="M314" s="31"/>
      <c r="U314" s="31"/>
      <c r="W314" s="63"/>
      <c r="AA314" s="63"/>
      <c r="AC314" s="31"/>
      <c r="AN314" s="32"/>
      <c r="AO314" s="98"/>
    </row>
    <row r="315" spans="6:41">
      <c r="F315" s="31"/>
      <c r="M315" s="31"/>
      <c r="U315" s="31"/>
      <c r="W315" s="63"/>
      <c r="AA315" s="63"/>
      <c r="AC315" s="31"/>
      <c r="AN315" s="32"/>
      <c r="AO315" s="98"/>
    </row>
    <row r="316" spans="6:41">
      <c r="F316" s="31"/>
      <c r="M316" s="31"/>
      <c r="U316" s="31"/>
      <c r="W316" s="63"/>
      <c r="AA316" s="63"/>
      <c r="AC316" s="31"/>
      <c r="AN316" s="32"/>
      <c r="AO316" s="98"/>
    </row>
    <row r="317" spans="6:41">
      <c r="F317" s="31"/>
      <c r="M317" s="31"/>
      <c r="U317" s="31"/>
      <c r="W317" s="63"/>
      <c r="AA317" s="63"/>
      <c r="AC317" s="31"/>
      <c r="AN317" s="32"/>
      <c r="AO317" s="98"/>
    </row>
    <row r="318" spans="6:41">
      <c r="F318" s="31"/>
      <c r="M318" s="31"/>
      <c r="U318" s="31"/>
      <c r="W318" s="63"/>
      <c r="AA318" s="63"/>
      <c r="AC318" s="31"/>
      <c r="AN318" s="32"/>
      <c r="AO318" s="98"/>
    </row>
    <row r="319" spans="6:41">
      <c r="F319" s="31"/>
      <c r="M319" s="31"/>
      <c r="U319" s="31"/>
      <c r="W319" s="63"/>
      <c r="AA319" s="63"/>
      <c r="AC319" s="31"/>
      <c r="AN319" s="32"/>
      <c r="AO319" s="98"/>
    </row>
    <row r="320" spans="6:41">
      <c r="F320" s="31"/>
      <c r="M320" s="31"/>
      <c r="U320" s="31"/>
      <c r="W320" s="63"/>
      <c r="AA320" s="63"/>
      <c r="AC320" s="31"/>
      <c r="AN320" s="32"/>
      <c r="AO320" s="98"/>
    </row>
    <row r="321" spans="6:41">
      <c r="F321" s="31"/>
      <c r="M321" s="31"/>
      <c r="U321" s="31"/>
      <c r="W321" s="63"/>
      <c r="AA321" s="63"/>
      <c r="AC321" s="31"/>
      <c r="AN321" s="32"/>
      <c r="AO321" s="98"/>
    </row>
    <row r="322" spans="6:41">
      <c r="F322" s="31"/>
      <c r="M322" s="31"/>
      <c r="U322" s="31"/>
      <c r="W322" s="63"/>
      <c r="AA322" s="63"/>
      <c r="AC322" s="31"/>
      <c r="AN322" s="32"/>
      <c r="AO322" s="98"/>
    </row>
    <row r="323" spans="6:41">
      <c r="F323" s="31"/>
      <c r="M323" s="31"/>
      <c r="U323" s="31"/>
      <c r="W323" s="63"/>
      <c r="AA323" s="63"/>
      <c r="AC323" s="31"/>
      <c r="AN323" s="32"/>
      <c r="AO323" s="98"/>
    </row>
    <row r="324" spans="6:41">
      <c r="F324" s="31"/>
      <c r="M324" s="31"/>
      <c r="U324" s="31"/>
      <c r="W324" s="63"/>
      <c r="AA324" s="63"/>
      <c r="AC324" s="31"/>
      <c r="AN324" s="32"/>
      <c r="AO324" s="98"/>
    </row>
    <row r="325" spans="6:41">
      <c r="F325" s="31"/>
      <c r="M325" s="31"/>
      <c r="U325" s="31"/>
      <c r="W325" s="63"/>
      <c r="AA325" s="63"/>
      <c r="AC325" s="31"/>
      <c r="AN325" s="32"/>
      <c r="AO325" s="98"/>
    </row>
    <row r="326" spans="6:41">
      <c r="F326" s="31"/>
      <c r="M326" s="31"/>
      <c r="U326" s="31"/>
      <c r="W326" s="63"/>
      <c r="AA326" s="63"/>
      <c r="AC326" s="31"/>
      <c r="AN326" s="32"/>
      <c r="AO326" s="98"/>
    </row>
    <row r="327" spans="6:41">
      <c r="F327" s="31"/>
      <c r="M327" s="31"/>
      <c r="U327" s="31"/>
      <c r="W327" s="63"/>
      <c r="AA327" s="63"/>
      <c r="AC327" s="31"/>
      <c r="AN327" s="32"/>
      <c r="AO327" s="98"/>
    </row>
    <row r="328" spans="6:41">
      <c r="F328" s="31"/>
      <c r="M328" s="31"/>
      <c r="U328" s="31"/>
      <c r="W328" s="63"/>
      <c r="AA328" s="63"/>
      <c r="AC328" s="31"/>
      <c r="AN328" s="32"/>
      <c r="AO328" s="98"/>
    </row>
    <row r="329" spans="6:41">
      <c r="F329" s="31"/>
      <c r="M329" s="31"/>
      <c r="U329" s="31"/>
      <c r="W329" s="63"/>
      <c r="AA329" s="63"/>
      <c r="AC329" s="31"/>
      <c r="AN329" s="32"/>
      <c r="AO329" s="98"/>
    </row>
    <row r="330" spans="6:41">
      <c r="F330" s="31"/>
      <c r="M330" s="31"/>
      <c r="U330" s="31"/>
      <c r="W330" s="63"/>
      <c r="AA330" s="63"/>
      <c r="AC330" s="31"/>
      <c r="AN330" s="32"/>
      <c r="AO330" s="98"/>
    </row>
    <row r="331" spans="6:41">
      <c r="F331" s="31"/>
      <c r="M331" s="31"/>
      <c r="U331" s="31"/>
      <c r="W331" s="63"/>
      <c r="AA331" s="63"/>
      <c r="AC331" s="31"/>
      <c r="AN331" s="32"/>
      <c r="AO331" s="98"/>
    </row>
    <row r="332" spans="6:41">
      <c r="F332" s="31"/>
      <c r="M332" s="31"/>
      <c r="U332" s="31"/>
      <c r="W332" s="63"/>
      <c r="AA332" s="63"/>
      <c r="AC332" s="31"/>
      <c r="AN332" s="32"/>
      <c r="AO332" s="98"/>
    </row>
    <row r="333" spans="6:41">
      <c r="F333" s="31"/>
      <c r="M333" s="31"/>
      <c r="U333" s="31"/>
      <c r="W333" s="63"/>
      <c r="AA333" s="63"/>
      <c r="AC333" s="31"/>
      <c r="AN333" s="32"/>
      <c r="AO333" s="98"/>
    </row>
    <row r="334" spans="6:41">
      <c r="F334" s="31"/>
      <c r="M334" s="31"/>
      <c r="U334" s="31"/>
      <c r="W334" s="63"/>
      <c r="AA334" s="63"/>
      <c r="AC334" s="31"/>
      <c r="AN334" s="32"/>
      <c r="AO334" s="98"/>
    </row>
    <row r="335" spans="6:41">
      <c r="F335" s="31"/>
      <c r="M335" s="31"/>
      <c r="U335" s="31"/>
      <c r="W335" s="63"/>
      <c r="AA335" s="63"/>
      <c r="AC335" s="31"/>
      <c r="AN335" s="32"/>
      <c r="AO335" s="98"/>
    </row>
    <row r="336" spans="6:41">
      <c r="F336" s="31"/>
      <c r="M336" s="31"/>
      <c r="U336" s="31"/>
      <c r="W336" s="63"/>
      <c r="AA336" s="63"/>
      <c r="AC336" s="31"/>
      <c r="AN336" s="32"/>
      <c r="AO336" s="98"/>
    </row>
    <row r="337" spans="6:41">
      <c r="F337" s="31"/>
      <c r="M337" s="31"/>
      <c r="U337" s="31"/>
      <c r="W337" s="63"/>
      <c r="AA337" s="63"/>
      <c r="AC337" s="31"/>
      <c r="AN337" s="32"/>
      <c r="AO337" s="98"/>
    </row>
    <row r="338" spans="6:41">
      <c r="F338" s="31"/>
      <c r="M338" s="31"/>
      <c r="U338" s="31"/>
      <c r="W338" s="63"/>
      <c r="AA338" s="63"/>
      <c r="AC338" s="31"/>
      <c r="AN338" s="32"/>
      <c r="AO338" s="98"/>
    </row>
    <row r="339" spans="6:41">
      <c r="F339" s="31"/>
      <c r="M339" s="31"/>
      <c r="U339" s="31"/>
      <c r="W339" s="63"/>
      <c r="AA339" s="63"/>
      <c r="AC339" s="31"/>
      <c r="AN339" s="32"/>
      <c r="AO339" s="98"/>
    </row>
    <row r="340" spans="6:41">
      <c r="F340" s="31"/>
      <c r="M340" s="31"/>
      <c r="U340" s="31"/>
      <c r="W340" s="63"/>
      <c r="AA340" s="63"/>
      <c r="AC340" s="31"/>
      <c r="AN340" s="32"/>
      <c r="AO340" s="98"/>
    </row>
    <row r="341" spans="6:41">
      <c r="F341" s="31"/>
      <c r="M341" s="31"/>
      <c r="U341" s="31"/>
      <c r="W341" s="63"/>
      <c r="AA341" s="63"/>
      <c r="AC341" s="31"/>
      <c r="AN341" s="32"/>
      <c r="AO341" s="98"/>
    </row>
    <row r="342" spans="6:41">
      <c r="F342" s="31"/>
      <c r="M342" s="31"/>
      <c r="U342" s="31"/>
      <c r="W342" s="63"/>
      <c r="AA342" s="63"/>
      <c r="AC342" s="31"/>
      <c r="AN342" s="32"/>
      <c r="AO342" s="98"/>
    </row>
    <row r="343" spans="6:41">
      <c r="F343" s="31"/>
      <c r="M343" s="31"/>
      <c r="U343" s="31"/>
      <c r="W343" s="63"/>
      <c r="AA343" s="63"/>
      <c r="AC343" s="31"/>
      <c r="AN343" s="32"/>
      <c r="AO343" s="98"/>
    </row>
    <row r="344" spans="6:41">
      <c r="F344" s="31"/>
      <c r="M344" s="31"/>
      <c r="U344" s="31"/>
      <c r="W344" s="63"/>
      <c r="AA344" s="63"/>
      <c r="AC344" s="31"/>
      <c r="AN344" s="32"/>
      <c r="AO344" s="98"/>
    </row>
    <row r="345" spans="6:41">
      <c r="F345" s="31"/>
      <c r="M345" s="31"/>
      <c r="U345" s="31"/>
      <c r="W345" s="63"/>
      <c r="AA345" s="63"/>
      <c r="AC345" s="31"/>
      <c r="AN345" s="32"/>
      <c r="AO345" s="98"/>
    </row>
    <row r="346" spans="6:41">
      <c r="F346" s="31"/>
      <c r="M346" s="31"/>
      <c r="U346" s="31"/>
      <c r="W346" s="63"/>
      <c r="AA346" s="63"/>
      <c r="AC346" s="31"/>
      <c r="AN346" s="32"/>
      <c r="AO346" s="98"/>
    </row>
    <row r="347" spans="6:41">
      <c r="F347" s="31"/>
      <c r="M347" s="31"/>
      <c r="U347" s="31"/>
      <c r="W347" s="63"/>
      <c r="AA347" s="63"/>
      <c r="AC347" s="31"/>
      <c r="AN347" s="32"/>
      <c r="AO347" s="98"/>
    </row>
    <row r="348" spans="6:41">
      <c r="F348" s="31"/>
      <c r="M348" s="31"/>
      <c r="U348" s="31"/>
      <c r="W348" s="63"/>
      <c r="AA348" s="63"/>
      <c r="AC348" s="31"/>
      <c r="AN348" s="32"/>
      <c r="AO348" s="98"/>
    </row>
    <row r="349" spans="6:41">
      <c r="F349" s="31"/>
      <c r="M349" s="31"/>
      <c r="U349" s="31"/>
      <c r="W349" s="63"/>
      <c r="AA349" s="63"/>
      <c r="AC349" s="31"/>
      <c r="AN349" s="32"/>
      <c r="AO349" s="98"/>
    </row>
    <row r="350" spans="6:41">
      <c r="F350" s="31"/>
      <c r="M350" s="31"/>
      <c r="U350" s="31"/>
      <c r="W350" s="63"/>
      <c r="AA350" s="63"/>
      <c r="AC350" s="31"/>
      <c r="AN350" s="32"/>
      <c r="AO350" s="98"/>
    </row>
    <row r="351" spans="6:41">
      <c r="F351" s="31"/>
      <c r="M351" s="31"/>
      <c r="U351" s="31"/>
      <c r="W351" s="63"/>
      <c r="AA351" s="63"/>
      <c r="AC351" s="31"/>
      <c r="AN351" s="32"/>
      <c r="AO351" s="98"/>
    </row>
    <row r="352" spans="6:41">
      <c r="F352" s="31"/>
      <c r="M352" s="31"/>
      <c r="U352" s="31"/>
      <c r="W352" s="63"/>
      <c r="AA352" s="63"/>
      <c r="AC352" s="31"/>
      <c r="AN352" s="32"/>
      <c r="AO352" s="98"/>
    </row>
    <row r="353" spans="6:41">
      <c r="F353" s="31"/>
      <c r="M353" s="31"/>
      <c r="U353" s="31"/>
      <c r="W353" s="63"/>
      <c r="AA353" s="63"/>
      <c r="AC353" s="31"/>
      <c r="AN353" s="32"/>
      <c r="AO353" s="98"/>
    </row>
    <row r="354" spans="6:41">
      <c r="F354" s="31"/>
      <c r="M354" s="31"/>
      <c r="U354" s="31"/>
      <c r="W354" s="63"/>
      <c r="AA354" s="63"/>
      <c r="AC354" s="31"/>
      <c r="AN354" s="32"/>
      <c r="AO354" s="98"/>
    </row>
    <row r="355" spans="6:41">
      <c r="F355" s="31"/>
      <c r="M355" s="31"/>
      <c r="U355" s="31"/>
      <c r="W355" s="63"/>
      <c r="AA355" s="63"/>
      <c r="AC355" s="31"/>
      <c r="AN355" s="32"/>
      <c r="AO355" s="98"/>
    </row>
    <row r="356" spans="6:41">
      <c r="F356" s="31"/>
      <c r="M356" s="31"/>
      <c r="U356" s="31"/>
      <c r="W356" s="63"/>
      <c r="AA356" s="63"/>
      <c r="AC356" s="31"/>
      <c r="AN356" s="32"/>
      <c r="AO356" s="98"/>
    </row>
    <row r="357" spans="6:41">
      <c r="F357" s="31"/>
      <c r="M357" s="31"/>
      <c r="U357" s="31"/>
      <c r="W357" s="63"/>
      <c r="AA357" s="63"/>
      <c r="AC357" s="31"/>
      <c r="AN357" s="32"/>
      <c r="AO357" s="98"/>
    </row>
    <row r="358" spans="6:41">
      <c r="F358" s="31"/>
      <c r="M358" s="31"/>
      <c r="U358" s="31"/>
      <c r="W358" s="63"/>
      <c r="AA358" s="63"/>
      <c r="AC358" s="31"/>
      <c r="AN358" s="32"/>
      <c r="AO358" s="98"/>
    </row>
    <row r="359" spans="6:41">
      <c r="F359" s="31"/>
      <c r="M359" s="31"/>
      <c r="U359" s="31"/>
      <c r="W359" s="63"/>
      <c r="AA359" s="63"/>
      <c r="AC359" s="31"/>
      <c r="AN359" s="32"/>
      <c r="AO359" s="98"/>
    </row>
    <row r="360" spans="6:41">
      <c r="F360" s="31"/>
      <c r="M360" s="31"/>
      <c r="U360" s="31"/>
      <c r="W360" s="63"/>
      <c r="AA360" s="63"/>
      <c r="AC360" s="31"/>
      <c r="AN360" s="32"/>
      <c r="AO360" s="98"/>
    </row>
    <row r="361" spans="6:41">
      <c r="F361" s="31"/>
      <c r="M361" s="31"/>
      <c r="U361" s="31"/>
      <c r="W361" s="63"/>
      <c r="AA361" s="63"/>
      <c r="AC361" s="31"/>
      <c r="AN361" s="32"/>
      <c r="AO361" s="98"/>
    </row>
    <row r="362" spans="6:41">
      <c r="F362" s="31"/>
      <c r="M362" s="31"/>
      <c r="U362" s="31"/>
      <c r="W362" s="63"/>
      <c r="AA362" s="63"/>
      <c r="AC362" s="31"/>
      <c r="AN362" s="32"/>
      <c r="AO362" s="98"/>
    </row>
    <row r="363" spans="6:41">
      <c r="F363" s="31"/>
      <c r="M363" s="31"/>
      <c r="U363" s="31"/>
      <c r="W363" s="63"/>
      <c r="AA363" s="63"/>
      <c r="AC363" s="31"/>
      <c r="AN363" s="32"/>
      <c r="AO363" s="98"/>
    </row>
    <row r="364" spans="6:41">
      <c r="F364" s="31"/>
      <c r="M364" s="31"/>
      <c r="U364" s="31"/>
      <c r="W364" s="63"/>
      <c r="AA364" s="63"/>
      <c r="AC364" s="31"/>
      <c r="AN364" s="32"/>
      <c r="AO364" s="98"/>
    </row>
    <row r="365" spans="6:41">
      <c r="F365" s="31"/>
      <c r="M365" s="31"/>
      <c r="U365" s="31"/>
      <c r="W365" s="63"/>
      <c r="AA365" s="63"/>
      <c r="AC365" s="31"/>
      <c r="AN365" s="32"/>
      <c r="AO365" s="98"/>
    </row>
    <row r="366" spans="6:41">
      <c r="F366" s="31"/>
      <c r="M366" s="31"/>
      <c r="U366" s="31"/>
      <c r="W366" s="63"/>
      <c r="AA366" s="63"/>
      <c r="AC366" s="31"/>
      <c r="AN366" s="32"/>
      <c r="AO366" s="98"/>
    </row>
    <row r="367" spans="6:41">
      <c r="F367" s="31"/>
      <c r="M367" s="31"/>
      <c r="U367" s="31"/>
      <c r="W367" s="63"/>
      <c r="AA367" s="63"/>
      <c r="AC367" s="31"/>
      <c r="AN367" s="32"/>
      <c r="AO367" s="98"/>
    </row>
    <row r="368" spans="6:41">
      <c r="F368" s="31"/>
      <c r="M368" s="31"/>
      <c r="U368" s="31"/>
      <c r="W368" s="63"/>
      <c r="AA368" s="63"/>
      <c r="AC368" s="31"/>
      <c r="AN368" s="32"/>
      <c r="AO368" s="98"/>
    </row>
    <row r="369" spans="6:41">
      <c r="F369" s="31"/>
      <c r="M369" s="31"/>
      <c r="U369" s="31"/>
      <c r="W369" s="63"/>
      <c r="AA369" s="63"/>
      <c r="AC369" s="31"/>
      <c r="AN369" s="32"/>
      <c r="AO369" s="98"/>
    </row>
    <row r="370" spans="6:41">
      <c r="F370" s="31"/>
      <c r="M370" s="31"/>
      <c r="U370" s="31"/>
      <c r="W370" s="63"/>
      <c r="AA370" s="63"/>
      <c r="AC370" s="31"/>
      <c r="AN370" s="32"/>
      <c r="AO370" s="98"/>
    </row>
    <row r="371" spans="6:41">
      <c r="F371" s="31"/>
      <c r="M371" s="31"/>
      <c r="U371" s="31"/>
      <c r="W371" s="63"/>
      <c r="AA371" s="63"/>
      <c r="AC371" s="31"/>
      <c r="AN371" s="32"/>
      <c r="AO371" s="98"/>
    </row>
    <row r="372" spans="6:41">
      <c r="F372" s="31"/>
      <c r="M372" s="31"/>
      <c r="U372" s="31"/>
      <c r="W372" s="63"/>
      <c r="AA372" s="63"/>
      <c r="AC372" s="31"/>
      <c r="AN372" s="32"/>
      <c r="AO372" s="98"/>
    </row>
    <row r="373" spans="6:41">
      <c r="F373" s="31"/>
      <c r="M373" s="31"/>
      <c r="U373" s="31"/>
      <c r="W373" s="63"/>
      <c r="AA373" s="63"/>
      <c r="AC373" s="31"/>
      <c r="AN373" s="32"/>
      <c r="AO373" s="98"/>
    </row>
    <row r="374" spans="6:41">
      <c r="F374" s="31"/>
      <c r="M374" s="31"/>
      <c r="U374" s="31"/>
      <c r="W374" s="63"/>
      <c r="AA374" s="63"/>
      <c r="AC374" s="31"/>
      <c r="AN374" s="32"/>
      <c r="AO374" s="98"/>
    </row>
    <row r="375" spans="6:41">
      <c r="F375" s="31"/>
      <c r="M375" s="31"/>
      <c r="U375" s="31"/>
      <c r="W375" s="63"/>
      <c r="AA375" s="63"/>
      <c r="AC375" s="31"/>
      <c r="AN375" s="32"/>
      <c r="AO375" s="98"/>
    </row>
    <row r="376" spans="6:41">
      <c r="F376" s="31"/>
      <c r="M376" s="31"/>
      <c r="U376" s="31"/>
      <c r="W376" s="63"/>
      <c r="AA376" s="63"/>
      <c r="AC376" s="31"/>
      <c r="AN376" s="32"/>
      <c r="AO376" s="98"/>
    </row>
    <row r="377" spans="6:41">
      <c r="F377" s="31"/>
      <c r="M377" s="31"/>
      <c r="U377" s="31"/>
      <c r="W377" s="63"/>
      <c r="AA377" s="63"/>
      <c r="AC377" s="31"/>
      <c r="AN377" s="32"/>
      <c r="AO377" s="98"/>
    </row>
    <row r="378" spans="6:41">
      <c r="F378" s="31"/>
      <c r="M378" s="31"/>
      <c r="U378" s="31"/>
      <c r="W378" s="63"/>
      <c r="AA378" s="63"/>
      <c r="AC378" s="31"/>
      <c r="AN378" s="32"/>
      <c r="AO378" s="98"/>
    </row>
    <row r="379" spans="6:41">
      <c r="F379" s="31"/>
      <c r="M379" s="31"/>
      <c r="U379" s="31"/>
      <c r="W379" s="63"/>
      <c r="AA379" s="63"/>
      <c r="AC379" s="31"/>
      <c r="AN379" s="32"/>
      <c r="AO379" s="98"/>
    </row>
    <row r="380" spans="6:41">
      <c r="F380" s="31"/>
      <c r="M380" s="31"/>
      <c r="U380" s="31"/>
      <c r="W380" s="63"/>
      <c r="AA380" s="63"/>
      <c r="AC380" s="31"/>
      <c r="AN380" s="32"/>
      <c r="AO380" s="98"/>
    </row>
    <row r="381" spans="6:41">
      <c r="F381" s="31"/>
      <c r="M381" s="31"/>
      <c r="U381" s="31"/>
      <c r="W381" s="63"/>
      <c r="AA381" s="63"/>
      <c r="AC381" s="31"/>
      <c r="AN381" s="32"/>
      <c r="AO381" s="98"/>
    </row>
    <row r="382" spans="6:41">
      <c r="F382" s="31"/>
      <c r="M382" s="31"/>
      <c r="U382" s="31"/>
      <c r="W382" s="63"/>
      <c r="AA382" s="63"/>
      <c r="AC382" s="31"/>
      <c r="AN382" s="32"/>
      <c r="AO382" s="98"/>
    </row>
    <row r="383" spans="6:41">
      <c r="F383" s="31"/>
      <c r="M383" s="31"/>
      <c r="U383" s="31"/>
      <c r="W383" s="63"/>
      <c r="AA383" s="63"/>
      <c r="AC383" s="31"/>
      <c r="AN383" s="32"/>
      <c r="AO383" s="98"/>
    </row>
    <row r="384" spans="6:41">
      <c r="F384" s="31"/>
      <c r="M384" s="31"/>
      <c r="U384" s="31"/>
      <c r="W384" s="63"/>
      <c r="AA384" s="63"/>
      <c r="AC384" s="31"/>
      <c r="AN384" s="32"/>
      <c r="AO384" s="98"/>
    </row>
    <row r="385" spans="6:41">
      <c r="F385" s="31"/>
      <c r="M385" s="31"/>
      <c r="U385" s="31"/>
      <c r="W385" s="63"/>
      <c r="AA385" s="63"/>
      <c r="AC385" s="31"/>
      <c r="AN385" s="32"/>
      <c r="AO385" s="98"/>
    </row>
    <row r="386" spans="6:41">
      <c r="F386" s="31"/>
      <c r="M386" s="31"/>
      <c r="U386" s="31"/>
      <c r="W386" s="63"/>
      <c r="AA386" s="63"/>
      <c r="AC386" s="31"/>
      <c r="AN386" s="32"/>
      <c r="AO386" s="98"/>
    </row>
    <row r="387" spans="6:41">
      <c r="F387" s="31"/>
      <c r="M387" s="31"/>
      <c r="U387" s="31"/>
      <c r="W387" s="63"/>
      <c r="AA387" s="63"/>
      <c r="AC387" s="31"/>
      <c r="AN387" s="32"/>
      <c r="AO387" s="98"/>
    </row>
    <row r="388" spans="6:41">
      <c r="F388" s="31"/>
      <c r="M388" s="31"/>
      <c r="U388" s="31"/>
      <c r="W388" s="63"/>
      <c r="AA388" s="63"/>
      <c r="AC388" s="31"/>
      <c r="AN388" s="32"/>
      <c r="AO388" s="98"/>
    </row>
    <row r="389" spans="6:41">
      <c r="F389" s="31"/>
      <c r="M389" s="31"/>
      <c r="U389" s="31"/>
      <c r="W389" s="63"/>
      <c r="AA389" s="63"/>
      <c r="AC389" s="31"/>
      <c r="AN389" s="32"/>
      <c r="AO389" s="98"/>
    </row>
    <row r="390" spans="6:41">
      <c r="F390" s="31"/>
      <c r="M390" s="31"/>
      <c r="U390" s="31"/>
      <c r="W390" s="63"/>
      <c r="AA390" s="63"/>
      <c r="AC390" s="31"/>
      <c r="AN390" s="32"/>
      <c r="AO390" s="98"/>
    </row>
    <row r="391" spans="6:41">
      <c r="F391" s="31"/>
      <c r="M391" s="31"/>
      <c r="U391" s="31"/>
      <c r="W391" s="63"/>
      <c r="AA391" s="63"/>
      <c r="AC391" s="31"/>
      <c r="AN391" s="32"/>
      <c r="AO391" s="98"/>
    </row>
    <row r="392" spans="6:41">
      <c r="F392" s="31"/>
      <c r="M392" s="31"/>
      <c r="U392" s="31"/>
      <c r="W392" s="63"/>
      <c r="AA392" s="63"/>
      <c r="AC392" s="31"/>
      <c r="AN392" s="32"/>
      <c r="AO392" s="98"/>
    </row>
    <row r="393" spans="6:41">
      <c r="F393" s="31"/>
      <c r="M393" s="31"/>
      <c r="U393" s="31"/>
      <c r="W393" s="63"/>
      <c r="AA393" s="63"/>
      <c r="AC393" s="31"/>
      <c r="AN393" s="32"/>
      <c r="AO393" s="98"/>
    </row>
    <row r="394" spans="6:41">
      <c r="F394" s="31"/>
      <c r="M394" s="31"/>
      <c r="U394" s="31"/>
      <c r="W394" s="63"/>
      <c r="AA394" s="63"/>
      <c r="AC394" s="31"/>
      <c r="AN394" s="32"/>
      <c r="AO394" s="98"/>
    </row>
    <row r="395" spans="6:41">
      <c r="F395" s="31"/>
      <c r="M395" s="31"/>
      <c r="U395" s="31"/>
      <c r="W395" s="63"/>
      <c r="AA395" s="63"/>
      <c r="AC395" s="31"/>
      <c r="AN395" s="32"/>
      <c r="AO395" s="98"/>
    </row>
    <row r="396" spans="6:41">
      <c r="F396" s="31"/>
      <c r="M396" s="31"/>
      <c r="U396" s="31"/>
      <c r="W396" s="63"/>
      <c r="AA396" s="63"/>
      <c r="AC396" s="31"/>
      <c r="AN396" s="32"/>
      <c r="AO396" s="98"/>
    </row>
    <row r="397" spans="6:41">
      <c r="F397" s="31"/>
      <c r="M397" s="31"/>
      <c r="U397" s="31"/>
      <c r="W397" s="63"/>
      <c r="AA397" s="63"/>
      <c r="AC397" s="31"/>
      <c r="AN397" s="32"/>
      <c r="AO397" s="98"/>
    </row>
    <row r="398" spans="6:41">
      <c r="F398" s="31"/>
      <c r="M398" s="31"/>
      <c r="U398" s="31"/>
      <c r="W398" s="63"/>
      <c r="AA398" s="63"/>
      <c r="AC398" s="31"/>
      <c r="AN398" s="32"/>
      <c r="AO398" s="98"/>
    </row>
    <row r="399" spans="6:41">
      <c r="F399" s="31"/>
      <c r="M399" s="31"/>
      <c r="U399" s="31"/>
      <c r="W399" s="63"/>
      <c r="AA399" s="63"/>
      <c r="AC399" s="31"/>
      <c r="AN399" s="32"/>
      <c r="AO399" s="98"/>
    </row>
    <row r="400" spans="6:41">
      <c r="F400" s="31"/>
      <c r="M400" s="31"/>
      <c r="U400" s="31"/>
      <c r="W400" s="63"/>
      <c r="AA400" s="63"/>
      <c r="AC400" s="31"/>
      <c r="AN400" s="32"/>
      <c r="AO400" s="98"/>
    </row>
    <row r="401" spans="6:41">
      <c r="F401" s="31"/>
      <c r="M401" s="31"/>
      <c r="U401" s="31"/>
      <c r="W401" s="63"/>
      <c r="AA401" s="63"/>
      <c r="AC401" s="31"/>
      <c r="AN401" s="32"/>
      <c r="AO401" s="98"/>
    </row>
    <row r="402" spans="6:41">
      <c r="F402" s="31"/>
      <c r="M402" s="31"/>
      <c r="U402" s="31"/>
      <c r="W402" s="63"/>
      <c r="AA402" s="63"/>
      <c r="AC402" s="31"/>
      <c r="AN402" s="32"/>
      <c r="AO402" s="98"/>
    </row>
    <row r="403" spans="6:41">
      <c r="F403" s="31"/>
      <c r="M403" s="31"/>
      <c r="U403" s="31"/>
      <c r="W403" s="63"/>
      <c r="AA403" s="63"/>
      <c r="AC403" s="31"/>
      <c r="AN403" s="32"/>
      <c r="AO403" s="98"/>
    </row>
    <row r="404" spans="6:41">
      <c r="F404" s="31"/>
      <c r="M404" s="31"/>
      <c r="U404" s="31"/>
      <c r="W404" s="63"/>
      <c r="AA404" s="63"/>
      <c r="AC404" s="31"/>
      <c r="AN404" s="32"/>
      <c r="AO404" s="98"/>
    </row>
    <row r="405" spans="6:41">
      <c r="F405" s="31"/>
      <c r="M405" s="31"/>
      <c r="U405" s="31"/>
      <c r="W405" s="63"/>
      <c r="AA405" s="63"/>
      <c r="AC405" s="31"/>
      <c r="AN405" s="32"/>
      <c r="AO405" s="98"/>
    </row>
    <row r="406" spans="6:41">
      <c r="F406" s="31"/>
      <c r="M406" s="31"/>
      <c r="U406" s="31"/>
      <c r="W406" s="63"/>
      <c r="AA406" s="63"/>
      <c r="AC406" s="31"/>
      <c r="AN406" s="32"/>
      <c r="AO406" s="98"/>
    </row>
    <row r="407" spans="6:41">
      <c r="F407" s="31"/>
      <c r="M407" s="31"/>
      <c r="U407" s="31"/>
      <c r="W407" s="63"/>
      <c r="AA407" s="63"/>
      <c r="AC407" s="31"/>
      <c r="AN407" s="32"/>
      <c r="AO407" s="98"/>
    </row>
    <row r="408" spans="6:41">
      <c r="F408" s="31"/>
      <c r="M408" s="31"/>
      <c r="U408" s="31"/>
      <c r="W408" s="63"/>
      <c r="AA408" s="63"/>
      <c r="AC408" s="31"/>
      <c r="AN408" s="32"/>
      <c r="AO408" s="98"/>
    </row>
    <row r="409" spans="6:41">
      <c r="F409" s="31"/>
      <c r="M409" s="31"/>
      <c r="U409" s="31"/>
      <c r="W409" s="63"/>
      <c r="AA409" s="63"/>
      <c r="AC409" s="31"/>
      <c r="AN409" s="32"/>
      <c r="AO409" s="98"/>
    </row>
    <row r="410" spans="6:41">
      <c r="F410" s="31"/>
      <c r="M410" s="31"/>
      <c r="U410" s="31"/>
      <c r="W410" s="63"/>
      <c r="AA410" s="63"/>
      <c r="AC410" s="31"/>
      <c r="AN410" s="32"/>
      <c r="AO410" s="98"/>
    </row>
    <row r="411" spans="6:41">
      <c r="F411" s="31"/>
      <c r="M411" s="31"/>
      <c r="U411" s="31"/>
      <c r="W411" s="63"/>
      <c r="AA411" s="63"/>
      <c r="AC411" s="31"/>
      <c r="AN411" s="32"/>
      <c r="AO411" s="98"/>
    </row>
    <row r="412" spans="6:41">
      <c r="F412" s="31"/>
      <c r="M412" s="31"/>
      <c r="U412" s="31"/>
      <c r="W412" s="63"/>
      <c r="AA412" s="63"/>
      <c r="AC412" s="31"/>
      <c r="AN412" s="32"/>
      <c r="AO412" s="98"/>
    </row>
    <row r="413" spans="6:41">
      <c r="F413" s="31"/>
      <c r="M413" s="31"/>
      <c r="U413" s="31"/>
      <c r="W413" s="63"/>
      <c r="AA413" s="63"/>
      <c r="AC413" s="31"/>
      <c r="AN413" s="32"/>
      <c r="AO413" s="98"/>
    </row>
    <row r="414" spans="6:41">
      <c r="F414" s="31"/>
      <c r="M414" s="31"/>
      <c r="U414" s="31"/>
      <c r="W414" s="63"/>
      <c r="AA414" s="63"/>
      <c r="AC414" s="31"/>
      <c r="AN414" s="32"/>
      <c r="AO414" s="98"/>
    </row>
    <row r="415" spans="6:41">
      <c r="F415" s="31"/>
      <c r="M415" s="31"/>
      <c r="U415" s="31"/>
      <c r="W415" s="63"/>
      <c r="AA415" s="63"/>
      <c r="AC415" s="31"/>
      <c r="AN415" s="32"/>
      <c r="AO415" s="98"/>
    </row>
    <row r="416" spans="6:41">
      <c r="F416" s="31"/>
      <c r="M416" s="31"/>
      <c r="U416" s="31"/>
      <c r="W416" s="63"/>
      <c r="AA416" s="63"/>
      <c r="AC416" s="31"/>
      <c r="AN416" s="32"/>
      <c r="AO416" s="98"/>
    </row>
    <row r="417" spans="6:41">
      <c r="F417" s="31"/>
      <c r="M417" s="31"/>
      <c r="U417" s="31"/>
      <c r="W417" s="63"/>
      <c r="AA417" s="63"/>
      <c r="AC417" s="31"/>
      <c r="AN417" s="32"/>
      <c r="AO417" s="98"/>
    </row>
    <row r="418" spans="6:41">
      <c r="F418" s="31"/>
      <c r="M418" s="31"/>
      <c r="U418" s="31"/>
      <c r="W418" s="63"/>
      <c r="AA418" s="63"/>
      <c r="AC418" s="31"/>
      <c r="AN418" s="32"/>
      <c r="AO418" s="98"/>
    </row>
    <row r="419" spans="6:41">
      <c r="F419" s="31"/>
      <c r="M419" s="31"/>
      <c r="U419" s="31"/>
      <c r="W419" s="63"/>
      <c r="AA419" s="63"/>
      <c r="AC419" s="31"/>
      <c r="AN419" s="32"/>
      <c r="AO419" s="98"/>
    </row>
    <row r="420" spans="6:41">
      <c r="F420" s="31"/>
      <c r="M420" s="31"/>
      <c r="U420" s="31"/>
      <c r="W420" s="63"/>
      <c r="AA420" s="63"/>
      <c r="AC420" s="31"/>
      <c r="AN420" s="32"/>
      <c r="AO420" s="98"/>
    </row>
    <row r="421" spans="6:41">
      <c r="F421" s="31"/>
      <c r="M421" s="31"/>
      <c r="U421" s="31"/>
      <c r="W421" s="63"/>
      <c r="AA421" s="63"/>
      <c r="AC421" s="31"/>
      <c r="AN421" s="32"/>
      <c r="AO421" s="98"/>
    </row>
    <row r="422" spans="6:41">
      <c r="F422" s="31"/>
      <c r="M422" s="31"/>
      <c r="U422" s="31"/>
      <c r="W422" s="63"/>
      <c r="AA422" s="63"/>
      <c r="AC422" s="31"/>
      <c r="AN422" s="32"/>
      <c r="AO422" s="98"/>
    </row>
    <row r="423" spans="6:41">
      <c r="F423" s="31"/>
      <c r="M423" s="31"/>
      <c r="U423" s="31"/>
      <c r="W423" s="63"/>
      <c r="AA423" s="63"/>
      <c r="AC423" s="31"/>
      <c r="AN423" s="32"/>
      <c r="AO423" s="98"/>
    </row>
    <row r="424" spans="6:41">
      <c r="F424" s="31"/>
      <c r="M424" s="31"/>
      <c r="U424" s="31"/>
      <c r="W424" s="63"/>
      <c r="AA424" s="63"/>
      <c r="AC424" s="31"/>
      <c r="AN424" s="32"/>
      <c r="AO424" s="98"/>
    </row>
    <row r="425" spans="6:41">
      <c r="F425" s="31"/>
      <c r="M425" s="31"/>
      <c r="U425" s="31"/>
      <c r="W425" s="63"/>
      <c r="AA425" s="63"/>
      <c r="AC425" s="31"/>
      <c r="AN425" s="32"/>
      <c r="AO425" s="98"/>
    </row>
    <row r="426" spans="6:41">
      <c r="F426" s="31"/>
      <c r="M426" s="31"/>
      <c r="U426" s="31"/>
      <c r="W426" s="63"/>
      <c r="AA426" s="63"/>
      <c r="AC426" s="31"/>
      <c r="AN426" s="32"/>
      <c r="AO426" s="98"/>
    </row>
    <row r="427" spans="6:41">
      <c r="F427" s="31"/>
      <c r="M427" s="31"/>
      <c r="U427" s="31"/>
      <c r="W427" s="63"/>
      <c r="AA427" s="63"/>
      <c r="AC427" s="31"/>
      <c r="AN427" s="32"/>
      <c r="AO427" s="98"/>
    </row>
    <row r="428" spans="6:41">
      <c r="F428" s="31"/>
      <c r="M428" s="31"/>
      <c r="U428" s="31"/>
      <c r="W428" s="63"/>
      <c r="AA428" s="63"/>
      <c r="AC428" s="31"/>
      <c r="AN428" s="32"/>
      <c r="AO428" s="98"/>
    </row>
    <row r="429" spans="6:41">
      <c r="F429" s="31"/>
      <c r="M429" s="31"/>
      <c r="U429" s="31"/>
      <c r="W429" s="63"/>
      <c r="AA429" s="63"/>
      <c r="AC429" s="31"/>
      <c r="AN429" s="32"/>
      <c r="AO429" s="98"/>
    </row>
    <row r="430" spans="6:41">
      <c r="F430" s="31"/>
      <c r="M430" s="31"/>
      <c r="U430" s="31"/>
      <c r="W430" s="63"/>
      <c r="AA430" s="63"/>
      <c r="AC430" s="31"/>
      <c r="AN430" s="32"/>
      <c r="AO430" s="98"/>
    </row>
    <row r="431" spans="6:41">
      <c r="F431" s="31"/>
      <c r="M431" s="31"/>
      <c r="U431" s="31"/>
      <c r="W431" s="63"/>
      <c r="AA431" s="63"/>
      <c r="AC431" s="31"/>
      <c r="AN431" s="32"/>
      <c r="AO431" s="98"/>
    </row>
    <row r="432" spans="6:41">
      <c r="F432" s="31"/>
      <c r="M432" s="31"/>
      <c r="U432" s="31"/>
      <c r="W432" s="63"/>
      <c r="AA432" s="63"/>
      <c r="AC432" s="31"/>
      <c r="AN432" s="32"/>
      <c r="AO432" s="98"/>
    </row>
    <row r="433" spans="6:41">
      <c r="F433" s="31"/>
      <c r="M433" s="31"/>
      <c r="U433" s="31"/>
      <c r="W433" s="63"/>
      <c r="AA433" s="63"/>
      <c r="AC433" s="31"/>
      <c r="AN433" s="32"/>
      <c r="AO433" s="98"/>
    </row>
    <row r="434" spans="6:41">
      <c r="F434" s="31"/>
      <c r="M434" s="31"/>
      <c r="U434" s="31"/>
      <c r="W434" s="63"/>
      <c r="AA434" s="63"/>
      <c r="AC434" s="31"/>
      <c r="AN434" s="32"/>
      <c r="AO434" s="98"/>
    </row>
    <row r="435" spans="6:41">
      <c r="F435" s="31"/>
      <c r="M435" s="31"/>
      <c r="U435" s="31"/>
      <c r="W435" s="63"/>
      <c r="AA435" s="63"/>
      <c r="AC435" s="31"/>
      <c r="AN435" s="32"/>
      <c r="AO435" s="98"/>
    </row>
    <row r="436" spans="6:41">
      <c r="F436" s="31"/>
      <c r="M436" s="31"/>
      <c r="U436" s="31"/>
      <c r="W436" s="63"/>
      <c r="AA436" s="63"/>
      <c r="AC436" s="31"/>
      <c r="AN436" s="32"/>
      <c r="AO436" s="98"/>
    </row>
    <row r="437" spans="6:41">
      <c r="F437" s="31"/>
      <c r="M437" s="31"/>
      <c r="U437" s="31"/>
      <c r="W437" s="63"/>
      <c r="AA437" s="63"/>
      <c r="AC437" s="31"/>
      <c r="AN437" s="32"/>
      <c r="AO437" s="98"/>
    </row>
    <row r="438" spans="6:41">
      <c r="F438" s="31"/>
      <c r="M438" s="31"/>
      <c r="U438" s="31"/>
      <c r="W438" s="63"/>
      <c r="AA438" s="63"/>
      <c r="AC438" s="31"/>
      <c r="AN438" s="32"/>
      <c r="AO438" s="98"/>
    </row>
    <row r="439" spans="6:41">
      <c r="F439" s="31"/>
      <c r="M439" s="31"/>
      <c r="U439" s="31"/>
      <c r="W439" s="63"/>
      <c r="AA439" s="63"/>
      <c r="AC439" s="31"/>
      <c r="AN439" s="32"/>
      <c r="AO439" s="98"/>
    </row>
    <row r="440" spans="6:41">
      <c r="F440" s="31"/>
      <c r="M440" s="31"/>
      <c r="U440" s="31"/>
      <c r="W440" s="63"/>
      <c r="AA440" s="63"/>
      <c r="AC440" s="31"/>
      <c r="AN440" s="32"/>
      <c r="AO440" s="98"/>
    </row>
    <row r="441" spans="6:41">
      <c r="F441" s="31"/>
      <c r="M441" s="31"/>
      <c r="U441" s="31"/>
      <c r="W441" s="63"/>
      <c r="AA441" s="63"/>
      <c r="AC441" s="31"/>
      <c r="AN441" s="32"/>
      <c r="AO441" s="98"/>
    </row>
    <row r="442" spans="6:41">
      <c r="F442" s="31"/>
      <c r="M442" s="31"/>
      <c r="U442" s="31"/>
      <c r="W442" s="63"/>
      <c r="AA442" s="63"/>
      <c r="AC442" s="31"/>
      <c r="AN442" s="32"/>
      <c r="AO442" s="98"/>
    </row>
    <row r="443" spans="6:41">
      <c r="F443" s="31"/>
      <c r="M443" s="31"/>
      <c r="U443" s="31"/>
      <c r="W443" s="63"/>
      <c r="AA443" s="63"/>
      <c r="AC443" s="31"/>
      <c r="AN443" s="32"/>
      <c r="AO443" s="98"/>
    </row>
    <row r="444" spans="6:41">
      <c r="F444" s="31"/>
      <c r="M444" s="31"/>
      <c r="U444" s="31"/>
      <c r="W444" s="63"/>
      <c r="AA444" s="63"/>
      <c r="AC444" s="31"/>
      <c r="AN444" s="32"/>
      <c r="AO444" s="98"/>
    </row>
    <row r="445" spans="6:41">
      <c r="F445" s="31"/>
      <c r="M445" s="31"/>
      <c r="U445" s="31"/>
      <c r="W445" s="63"/>
      <c r="AA445" s="63"/>
      <c r="AC445" s="31"/>
      <c r="AN445" s="32"/>
      <c r="AO445" s="98"/>
    </row>
    <row r="446" spans="6:41">
      <c r="F446" s="31"/>
      <c r="M446" s="31"/>
      <c r="U446" s="31"/>
      <c r="W446" s="63"/>
      <c r="AA446" s="63"/>
      <c r="AC446" s="31"/>
      <c r="AN446" s="32"/>
      <c r="AO446" s="98"/>
    </row>
    <row r="447" spans="6:41">
      <c r="F447" s="31"/>
      <c r="M447" s="31"/>
      <c r="U447" s="31"/>
      <c r="W447" s="63"/>
      <c r="AA447" s="63"/>
      <c r="AC447" s="31"/>
      <c r="AN447" s="32"/>
      <c r="AO447" s="98"/>
    </row>
    <row r="448" spans="6:41">
      <c r="F448" s="31"/>
      <c r="M448" s="31"/>
      <c r="U448" s="31"/>
      <c r="W448" s="63"/>
      <c r="AA448" s="63"/>
      <c r="AC448" s="31"/>
      <c r="AN448" s="32"/>
      <c r="AO448" s="98"/>
    </row>
    <row r="449" spans="6:41">
      <c r="F449" s="31"/>
      <c r="M449" s="31"/>
      <c r="U449" s="31"/>
      <c r="W449" s="63"/>
      <c r="AA449" s="63"/>
      <c r="AC449" s="31"/>
      <c r="AN449" s="32"/>
      <c r="AO449" s="98"/>
    </row>
    <row r="450" spans="6:41">
      <c r="F450" s="31"/>
      <c r="M450" s="31"/>
      <c r="U450" s="31"/>
      <c r="W450" s="63"/>
      <c r="AA450" s="63"/>
      <c r="AC450" s="31"/>
      <c r="AN450" s="32"/>
      <c r="AO450" s="98"/>
    </row>
    <row r="451" spans="6:41">
      <c r="F451" s="31"/>
      <c r="M451" s="31"/>
      <c r="U451" s="31"/>
      <c r="W451" s="63"/>
      <c r="AA451" s="63"/>
      <c r="AC451" s="31"/>
      <c r="AN451" s="32"/>
      <c r="AO451" s="98"/>
    </row>
    <row r="452" spans="6:41">
      <c r="F452" s="31"/>
      <c r="M452" s="31"/>
      <c r="U452" s="31"/>
      <c r="W452" s="63"/>
      <c r="AA452" s="63"/>
      <c r="AC452" s="31"/>
      <c r="AN452" s="32"/>
      <c r="AO452" s="98"/>
    </row>
    <row r="453" spans="6:41">
      <c r="F453" s="31"/>
      <c r="M453" s="31"/>
      <c r="U453" s="31"/>
      <c r="W453" s="63"/>
      <c r="AA453" s="63"/>
      <c r="AC453" s="31"/>
      <c r="AN453" s="32"/>
      <c r="AO453" s="98"/>
    </row>
    <row r="454" spans="6:41">
      <c r="F454" s="31"/>
      <c r="M454" s="31"/>
      <c r="U454" s="31"/>
      <c r="W454" s="63"/>
      <c r="AA454" s="63"/>
      <c r="AC454" s="31"/>
      <c r="AN454" s="32"/>
      <c r="AO454" s="98"/>
    </row>
    <row r="455" spans="6:41">
      <c r="F455" s="31"/>
      <c r="M455" s="31"/>
      <c r="U455" s="31"/>
      <c r="W455" s="63"/>
      <c r="AA455" s="63"/>
      <c r="AC455" s="31"/>
      <c r="AN455" s="32"/>
      <c r="AO455" s="98"/>
    </row>
    <row r="456" spans="6:41">
      <c r="F456" s="31"/>
      <c r="M456" s="31"/>
      <c r="U456" s="31"/>
      <c r="W456" s="63"/>
      <c r="AA456" s="63"/>
      <c r="AC456" s="31"/>
      <c r="AN456" s="32"/>
      <c r="AO456" s="98"/>
    </row>
    <row r="457" spans="6:41">
      <c r="F457" s="31"/>
      <c r="M457" s="31"/>
      <c r="U457" s="31"/>
      <c r="W457" s="63"/>
      <c r="AA457" s="63"/>
      <c r="AC457" s="31"/>
      <c r="AN457" s="32"/>
      <c r="AO457" s="98"/>
    </row>
    <row r="458" spans="6:41">
      <c r="F458" s="31"/>
      <c r="M458" s="31"/>
      <c r="U458" s="31"/>
      <c r="W458" s="63"/>
      <c r="AA458" s="63"/>
      <c r="AC458" s="31"/>
      <c r="AN458" s="32"/>
      <c r="AO458" s="98"/>
    </row>
    <row r="459" spans="6:41">
      <c r="F459" s="31"/>
      <c r="M459" s="31"/>
      <c r="U459" s="31"/>
      <c r="W459" s="63"/>
      <c r="AA459" s="63"/>
      <c r="AC459" s="31"/>
      <c r="AN459" s="32"/>
      <c r="AO459" s="98"/>
    </row>
    <row r="460" spans="6:41">
      <c r="F460" s="31"/>
      <c r="M460" s="31"/>
      <c r="U460" s="31"/>
      <c r="W460" s="63"/>
      <c r="AA460" s="63"/>
      <c r="AC460" s="31"/>
      <c r="AN460" s="32"/>
      <c r="AO460" s="98"/>
    </row>
    <row r="461" spans="6:41">
      <c r="F461" s="31"/>
      <c r="M461" s="31"/>
      <c r="U461" s="31"/>
      <c r="W461" s="63"/>
      <c r="AA461" s="63"/>
      <c r="AC461" s="31"/>
      <c r="AN461" s="32"/>
      <c r="AO461" s="98"/>
    </row>
    <row r="462" spans="6:41">
      <c r="F462" s="31"/>
      <c r="M462" s="31"/>
      <c r="U462" s="31"/>
      <c r="W462" s="63"/>
      <c r="AA462" s="63"/>
      <c r="AC462" s="31"/>
      <c r="AN462" s="32"/>
      <c r="AO462" s="98"/>
    </row>
    <row r="463" spans="6:41">
      <c r="F463" s="31"/>
      <c r="M463" s="31"/>
      <c r="U463" s="31"/>
      <c r="W463" s="63"/>
      <c r="AA463" s="63"/>
      <c r="AC463" s="31"/>
      <c r="AN463" s="32"/>
      <c r="AO463" s="98"/>
    </row>
    <row r="464" spans="6:41">
      <c r="F464" s="31"/>
      <c r="M464" s="31"/>
      <c r="U464" s="31"/>
      <c r="W464" s="63"/>
      <c r="AA464" s="63"/>
      <c r="AC464" s="31"/>
      <c r="AN464" s="32"/>
      <c r="AO464" s="98"/>
    </row>
    <row r="465" spans="6:41">
      <c r="F465" s="31"/>
      <c r="M465" s="31"/>
      <c r="U465" s="31"/>
      <c r="W465" s="63"/>
      <c r="AA465" s="63"/>
      <c r="AC465" s="31"/>
      <c r="AN465" s="32"/>
      <c r="AO465" s="98"/>
    </row>
    <row r="466" spans="6:41">
      <c r="F466" s="31"/>
      <c r="M466" s="31"/>
      <c r="U466" s="31"/>
      <c r="W466" s="63"/>
      <c r="AA466" s="63"/>
      <c r="AC466" s="31"/>
      <c r="AN466" s="32"/>
      <c r="AO466" s="98"/>
    </row>
    <row r="467" spans="6:41">
      <c r="F467" s="31"/>
      <c r="M467" s="31"/>
      <c r="U467" s="31"/>
      <c r="W467" s="63"/>
      <c r="AA467" s="63"/>
      <c r="AC467" s="31"/>
      <c r="AN467" s="32"/>
      <c r="AO467" s="98"/>
    </row>
    <row r="468" spans="6:41">
      <c r="F468" s="31"/>
      <c r="M468" s="31"/>
      <c r="U468" s="31"/>
      <c r="W468" s="63"/>
      <c r="AA468" s="63"/>
      <c r="AC468" s="31"/>
      <c r="AN468" s="32"/>
      <c r="AO468" s="98"/>
    </row>
    <row r="469" spans="6:41">
      <c r="F469" s="31"/>
      <c r="M469" s="31"/>
      <c r="U469" s="31"/>
      <c r="W469" s="63"/>
      <c r="AA469" s="63"/>
      <c r="AC469" s="31"/>
      <c r="AN469" s="32"/>
      <c r="AO469" s="98"/>
    </row>
    <row r="470" spans="6:41">
      <c r="F470" s="31"/>
      <c r="M470" s="31"/>
      <c r="U470" s="31"/>
      <c r="W470" s="63"/>
      <c r="AA470" s="63"/>
      <c r="AC470" s="31"/>
      <c r="AN470" s="32"/>
      <c r="AO470" s="98"/>
    </row>
    <row r="471" spans="6:41">
      <c r="F471" s="31"/>
      <c r="M471" s="31"/>
      <c r="U471" s="31"/>
      <c r="W471" s="63"/>
      <c r="AA471" s="63"/>
      <c r="AC471" s="31"/>
      <c r="AN471" s="32"/>
      <c r="AO471" s="98"/>
    </row>
    <row r="472" spans="6:41">
      <c r="F472" s="31"/>
      <c r="M472" s="31"/>
      <c r="U472" s="31"/>
      <c r="W472" s="63"/>
      <c r="AA472" s="63"/>
      <c r="AC472" s="31"/>
      <c r="AN472" s="32"/>
      <c r="AO472" s="98"/>
    </row>
    <row r="473" spans="6:41">
      <c r="F473" s="31"/>
      <c r="M473" s="31"/>
      <c r="U473" s="31"/>
      <c r="W473" s="63"/>
      <c r="AA473" s="63"/>
      <c r="AC473" s="31"/>
      <c r="AN473" s="32"/>
      <c r="AO473" s="98"/>
    </row>
    <row r="474" spans="6:41">
      <c r="F474" s="31"/>
      <c r="M474" s="31"/>
      <c r="U474" s="31"/>
      <c r="W474" s="63"/>
      <c r="AA474" s="63"/>
      <c r="AC474" s="31"/>
      <c r="AN474" s="32"/>
      <c r="AO474" s="98"/>
    </row>
    <row r="475" spans="6:41">
      <c r="F475" s="31"/>
      <c r="M475" s="31"/>
      <c r="U475" s="31"/>
      <c r="W475" s="63"/>
      <c r="AA475" s="63"/>
      <c r="AC475" s="31"/>
      <c r="AN475" s="32"/>
      <c r="AO475" s="98"/>
    </row>
    <row r="476" spans="6:41">
      <c r="F476" s="31"/>
      <c r="M476" s="31"/>
      <c r="U476" s="31"/>
      <c r="W476" s="63"/>
      <c r="AA476" s="63"/>
      <c r="AC476" s="31"/>
      <c r="AN476" s="32"/>
      <c r="AO476" s="98"/>
    </row>
    <row r="477" spans="6:41">
      <c r="F477" s="31"/>
      <c r="M477" s="31"/>
      <c r="U477" s="31"/>
      <c r="W477" s="63"/>
      <c r="AA477" s="63"/>
      <c r="AC477" s="31"/>
      <c r="AN477" s="32"/>
      <c r="AO477" s="98"/>
    </row>
    <row r="478" spans="6:41">
      <c r="F478" s="31"/>
      <c r="M478" s="31"/>
      <c r="U478" s="31"/>
      <c r="W478" s="63"/>
      <c r="AA478" s="63"/>
      <c r="AC478" s="31"/>
      <c r="AN478" s="32"/>
      <c r="AO478" s="98"/>
    </row>
    <row r="479" spans="6:41">
      <c r="F479" s="31"/>
      <c r="M479" s="31"/>
      <c r="U479" s="31"/>
      <c r="W479" s="63"/>
      <c r="AA479" s="63"/>
      <c r="AC479" s="31"/>
      <c r="AN479" s="32"/>
      <c r="AO479" s="98"/>
    </row>
    <row r="480" spans="6:41">
      <c r="F480" s="31"/>
      <c r="M480" s="31"/>
      <c r="U480" s="31"/>
      <c r="W480" s="63"/>
      <c r="AA480" s="63"/>
      <c r="AC480" s="31"/>
      <c r="AN480" s="32"/>
      <c r="AO480" s="98"/>
    </row>
    <row r="481" spans="6:41">
      <c r="F481" s="31"/>
      <c r="M481" s="31"/>
      <c r="U481" s="31"/>
      <c r="W481" s="63"/>
      <c r="AA481" s="63"/>
      <c r="AC481" s="31"/>
      <c r="AN481" s="32"/>
      <c r="AO481" s="98"/>
    </row>
    <row r="482" spans="6:41">
      <c r="F482" s="31"/>
      <c r="M482" s="31"/>
      <c r="U482" s="31"/>
      <c r="W482" s="63"/>
      <c r="AA482" s="63"/>
      <c r="AC482" s="31"/>
      <c r="AN482" s="32"/>
      <c r="AO482" s="98"/>
    </row>
    <row r="483" spans="6:41">
      <c r="F483" s="31"/>
      <c r="M483" s="31"/>
      <c r="U483" s="31"/>
      <c r="W483" s="63"/>
      <c r="AA483" s="63"/>
      <c r="AC483" s="31"/>
      <c r="AN483" s="32"/>
      <c r="AO483" s="98"/>
    </row>
    <row r="484" spans="6:41">
      <c r="F484" s="31"/>
      <c r="M484" s="31"/>
      <c r="U484" s="31"/>
      <c r="W484" s="63"/>
      <c r="AA484" s="63"/>
      <c r="AC484" s="31"/>
      <c r="AN484" s="32"/>
      <c r="AO484" s="98"/>
    </row>
    <row r="485" spans="6:41">
      <c r="F485" s="31"/>
      <c r="M485" s="31"/>
      <c r="U485" s="31"/>
      <c r="W485" s="63"/>
      <c r="AA485" s="63"/>
      <c r="AC485" s="31"/>
      <c r="AN485" s="32"/>
      <c r="AO485" s="98"/>
    </row>
    <row r="486" spans="6:41">
      <c r="F486" s="31"/>
      <c r="M486" s="31"/>
      <c r="U486" s="31"/>
      <c r="W486" s="63"/>
      <c r="AA486" s="63"/>
      <c r="AC486" s="31"/>
      <c r="AN486" s="32"/>
      <c r="AO486" s="98"/>
    </row>
    <row r="487" spans="6:41">
      <c r="F487" s="31"/>
      <c r="M487" s="31"/>
      <c r="U487" s="31"/>
      <c r="W487" s="63"/>
      <c r="AA487" s="63"/>
      <c r="AC487" s="31"/>
      <c r="AN487" s="32"/>
      <c r="AO487" s="98"/>
    </row>
    <row r="488" spans="6:41">
      <c r="F488" s="31"/>
      <c r="M488" s="31"/>
      <c r="U488" s="31"/>
      <c r="W488" s="63"/>
      <c r="AA488" s="63"/>
      <c r="AC488" s="31"/>
      <c r="AN488" s="32"/>
      <c r="AO488" s="98"/>
    </row>
    <row r="489" spans="6:41">
      <c r="F489" s="31"/>
      <c r="M489" s="31"/>
      <c r="U489" s="31"/>
      <c r="W489" s="63"/>
      <c r="AA489" s="63"/>
      <c r="AC489" s="31"/>
      <c r="AN489" s="32"/>
      <c r="AO489" s="98"/>
    </row>
    <row r="490" spans="6:41">
      <c r="F490" s="31"/>
      <c r="M490" s="31"/>
      <c r="U490" s="31"/>
      <c r="W490" s="63"/>
      <c r="AA490" s="63"/>
      <c r="AC490" s="31"/>
      <c r="AN490" s="32"/>
      <c r="AO490" s="98"/>
    </row>
    <row r="491" spans="6:41">
      <c r="F491" s="31"/>
      <c r="M491" s="31"/>
      <c r="U491" s="31"/>
      <c r="W491" s="63"/>
      <c r="AA491" s="63"/>
      <c r="AC491" s="31"/>
      <c r="AN491" s="32"/>
      <c r="AO491" s="98"/>
    </row>
    <row r="492" spans="6:41">
      <c r="F492" s="31"/>
      <c r="M492" s="31"/>
      <c r="U492" s="31"/>
      <c r="W492" s="63"/>
      <c r="AA492" s="63"/>
      <c r="AC492" s="31"/>
      <c r="AN492" s="32"/>
      <c r="AO492" s="98"/>
    </row>
    <row r="493" spans="6:41">
      <c r="F493" s="31"/>
      <c r="M493" s="31"/>
      <c r="U493" s="31"/>
      <c r="W493" s="63"/>
      <c r="AA493" s="63"/>
      <c r="AC493" s="31"/>
      <c r="AN493" s="32"/>
      <c r="AO493" s="98"/>
    </row>
    <row r="494" spans="6:41">
      <c r="F494" s="31"/>
      <c r="M494" s="31"/>
      <c r="U494" s="31"/>
      <c r="W494" s="63"/>
      <c r="AA494" s="63"/>
      <c r="AC494" s="31"/>
      <c r="AN494" s="32"/>
      <c r="AO494" s="98"/>
    </row>
    <row r="495" spans="6:41">
      <c r="F495" s="31"/>
      <c r="M495" s="31"/>
      <c r="U495" s="31"/>
      <c r="W495" s="63"/>
      <c r="AA495" s="63"/>
      <c r="AC495" s="31"/>
      <c r="AN495" s="32"/>
      <c r="AO495" s="98"/>
    </row>
    <row r="496" spans="6:41">
      <c r="F496" s="31"/>
      <c r="M496" s="31"/>
      <c r="U496" s="31"/>
      <c r="W496" s="63"/>
      <c r="AA496" s="63"/>
      <c r="AC496" s="31"/>
      <c r="AN496" s="32"/>
      <c r="AO496" s="98"/>
    </row>
    <row r="497" spans="6:41">
      <c r="F497" s="31"/>
      <c r="M497" s="31"/>
      <c r="U497" s="31"/>
      <c r="W497" s="63"/>
      <c r="AA497" s="63"/>
      <c r="AC497" s="31"/>
      <c r="AN497" s="32"/>
      <c r="AO497" s="98"/>
    </row>
    <row r="498" spans="6:41">
      <c r="F498" s="31"/>
      <c r="M498" s="31"/>
      <c r="U498" s="31"/>
      <c r="W498" s="63"/>
      <c r="AA498" s="63"/>
      <c r="AC498" s="31"/>
      <c r="AN498" s="32"/>
      <c r="AO498" s="98"/>
    </row>
    <row r="499" spans="6:41">
      <c r="F499" s="31"/>
      <c r="M499" s="31"/>
      <c r="U499" s="31"/>
      <c r="W499" s="63"/>
      <c r="AA499" s="63"/>
      <c r="AC499" s="31"/>
      <c r="AN499" s="32"/>
      <c r="AO499" s="98"/>
    </row>
    <row r="500" spans="6:41">
      <c r="F500" s="31"/>
      <c r="M500" s="31"/>
      <c r="U500" s="31"/>
      <c r="W500" s="63"/>
      <c r="AA500" s="63"/>
      <c r="AC500" s="31"/>
      <c r="AN500" s="32"/>
      <c r="AO500" s="98"/>
    </row>
    <row r="501" spans="6:41">
      <c r="F501" s="31"/>
      <c r="M501" s="31"/>
      <c r="U501" s="31"/>
      <c r="W501" s="63"/>
      <c r="AA501" s="63"/>
      <c r="AC501" s="31"/>
      <c r="AN501" s="32"/>
      <c r="AO501" s="98"/>
    </row>
    <row r="502" spans="6:41">
      <c r="F502" s="31"/>
      <c r="M502" s="31"/>
      <c r="U502" s="31"/>
      <c r="W502" s="63"/>
      <c r="AA502" s="63"/>
      <c r="AC502" s="31"/>
      <c r="AN502" s="32"/>
      <c r="AO502" s="98"/>
    </row>
    <row r="503" spans="6:41">
      <c r="F503" s="31"/>
      <c r="M503" s="31"/>
      <c r="U503" s="31"/>
      <c r="W503" s="63"/>
      <c r="AA503" s="63"/>
      <c r="AC503" s="31"/>
      <c r="AN503" s="32"/>
      <c r="AO503" s="98"/>
    </row>
    <row r="504" spans="6:41">
      <c r="F504" s="31"/>
      <c r="M504" s="31"/>
      <c r="U504" s="31"/>
      <c r="W504" s="63"/>
      <c r="AA504" s="63"/>
      <c r="AC504" s="31"/>
      <c r="AN504" s="32"/>
      <c r="AO504" s="98"/>
    </row>
    <row r="505" spans="6:41">
      <c r="F505" s="31"/>
      <c r="M505" s="31"/>
      <c r="U505" s="31"/>
      <c r="W505" s="63"/>
      <c r="AA505" s="63"/>
      <c r="AC505" s="31"/>
      <c r="AN505" s="32"/>
      <c r="AO505" s="98"/>
    </row>
    <row r="506" spans="6:41">
      <c r="F506" s="31"/>
      <c r="M506" s="31"/>
      <c r="U506" s="31"/>
      <c r="W506" s="63"/>
      <c r="AA506" s="63"/>
      <c r="AC506" s="31"/>
      <c r="AN506" s="32"/>
      <c r="AO506" s="98"/>
    </row>
    <row r="507" spans="6:41">
      <c r="F507" s="31"/>
      <c r="M507" s="31"/>
      <c r="U507" s="31"/>
      <c r="W507" s="63"/>
      <c r="AA507" s="63"/>
      <c r="AC507" s="31"/>
      <c r="AN507" s="32"/>
      <c r="AO507" s="98"/>
    </row>
    <row r="508" spans="6:41">
      <c r="F508" s="31"/>
      <c r="M508" s="31"/>
      <c r="U508" s="31"/>
      <c r="W508" s="63"/>
      <c r="AA508" s="63"/>
      <c r="AC508" s="31"/>
      <c r="AN508" s="32"/>
      <c r="AO508" s="98"/>
    </row>
    <row r="509" spans="6:41">
      <c r="F509" s="31"/>
      <c r="M509" s="31"/>
      <c r="U509" s="31"/>
      <c r="W509" s="63"/>
      <c r="AA509" s="63"/>
      <c r="AC509" s="31"/>
      <c r="AN509" s="32"/>
      <c r="AO509" s="98"/>
    </row>
    <row r="510" spans="6:41">
      <c r="F510" s="31"/>
      <c r="M510" s="31"/>
      <c r="U510" s="31"/>
      <c r="W510" s="63"/>
      <c r="AA510" s="63"/>
      <c r="AC510" s="31"/>
      <c r="AN510" s="32"/>
      <c r="AO510" s="98"/>
    </row>
    <row r="511" spans="6:41">
      <c r="F511" s="31"/>
      <c r="M511" s="31"/>
      <c r="U511" s="31"/>
      <c r="W511" s="63"/>
      <c r="AA511" s="63"/>
      <c r="AC511" s="31"/>
      <c r="AN511" s="32"/>
      <c r="AO511" s="98"/>
    </row>
    <row r="512" spans="6:41">
      <c r="F512" s="31"/>
      <c r="M512" s="31"/>
      <c r="U512" s="31"/>
      <c r="W512" s="63"/>
      <c r="AA512" s="63"/>
      <c r="AC512" s="31"/>
      <c r="AN512" s="32"/>
      <c r="AO512" s="98"/>
    </row>
    <row r="513" spans="6:41">
      <c r="F513" s="31"/>
      <c r="M513" s="31"/>
      <c r="U513" s="31"/>
      <c r="W513" s="63"/>
      <c r="AA513" s="63"/>
      <c r="AC513" s="31"/>
      <c r="AN513" s="32"/>
      <c r="AO513" s="98"/>
    </row>
    <row r="514" spans="6:41">
      <c r="F514" s="31"/>
      <c r="M514" s="31"/>
      <c r="U514" s="31"/>
      <c r="W514" s="63"/>
      <c r="AA514" s="63"/>
      <c r="AC514" s="31"/>
      <c r="AN514" s="32"/>
      <c r="AO514" s="98"/>
    </row>
    <row r="515" spans="6:41">
      <c r="F515" s="31"/>
      <c r="M515" s="31"/>
      <c r="U515" s="31"/>
      <c r="W515" s="63"/>
      <c r="AA515" s="63"/>
      <c r="AC515" s="31"/>
      <c r="AN515" s="32"/>
      <c r="AO515" s="98"/>
    </row>
    <row r="516" spans="6:41">
      <c r="F516" s="31"/>
      <c r="M516" s="31"/>
      <c r="U516" s="31"/>
      <c r="W516" s="63"/>
      <c r="AA516" s="63"/>
      <c r="AC516" s="31"/>
      <c r="AN516" s="32"/>
      <c r="AO516" s="98"/>
    </row>
    <row r="517" spans="6:41">
      <c r="F517" s="31"/>
      <c r="M517" s="31"/>
      <c r="U517" s="31"/>
      <c r="W517" s="63"/>
      <c r="AA517" s="63"/>
      <c r="AC517" s="31"/>
      <c r="AN517" s="32"/>
      <c r="AO517" s="98"/>
    </row>
    <row r="518" spans="6:41">
      <c r="F518" s="31"/>
      <c r="M518" s="31"/>
      <c r="U518" s="31"/>
      <c r="W518" s="63"/>
      <c r="AA518" s="63"/>
      <c r="AC518" s="31"/>
      <c r="AN518" s="32"/>
      <c r="AO518" s="98"/>
    </row>
    <row r="519" spans="6:41">
      <c r="F519" s="31"/>
      <c r="M519" s="31"/>
      <c r="U519" s="31"/>
      <c r="W519" s="63"/>
      <c r="AA519" s="63"/>
      <c r="AC519" s="31"/>
      <c r="AN519" s="32"/>
      <c r="AO519" s="98"/>
    </row>
    <row r="520" spans="6:41">
      <c r="F520" s="31"/>
      <c r="M520" s="31"/>
      <c r="U520" s="31"/>
      <c r="W520" s="63"/>
      <c r="AA520" s="63"/>
      <c r="AC520" s="31"/>
      <c r="AN520" s="32"/>
      <c r="AO520" s="98"/>
    </row>
    <row r="521" spans="6:41">
      <c r="F521" s="31"/>
      <c r="M521" s="31"/>
      <c r="U521" s="31"/>
      <c r="W521" s="63"/>
      <c r="AA521" s="63"/>
      <c r="AC521" s="31"/>
      <c r="AN521" s="32"/>
      <c r="AO521" s="98"/>
    </row>
    <row r="522" spans="6:41">
      <c r="F522" s="31"/>
      <c r="M522" s="31"/>
      <c r="U522" s="31"/>
      <c r="W522" s="63"/>
      <c r="AA522" s="63"/>
      <c r="AC522" s="31"/>
      <c r="AN522" s="32"/>
      <c r="AO522" s="98"/>
    </row>
    <row r="523" spans="6:41">
      <c r="F523" s="31"/>
      <c r="M523" s="31"/>
      <c r="U523" s="31"/>
      <c r="W523" s="63"/>
      <c r="AA523" s="63"/>
      <c r="AC523" s="31"/>
      <c r="AN523" s="32"/>
      <c r="AO523" s="98"/>
    </row>
    <row r="524" spans="6:41">
      <c r="F524" s="31"/>
      <c r="M524" s="31"/>
      <c r="U524" s="31"/>
      <c r="W524" s="63"/>
      <c r="AA524" s="63"/>
      <c r="AC524" s="31"/>
      <c r="AN524" s="32"/>
      <c r="AO524" s="98"/>
    </row>
    <row r="525" spans="6:41">
      <c r="F525" s="31"/>
      <c r="M525" s="31"/>
      <c r="U525" s="31"/>
      <c r="W525" s="63"/>
      <c r="AA525" s="63"/>
      <c r="AC525" s="31"/>
      <c r="AN525" s="32"/>
      <c r="AO525" s="98"/>
    </row>
    <row r="526" spans="6:41">
      <c r="F526" s="31"/>
      <c r="M526" s="31"/>
      <c r="U526" s="31"/>
      <c r="W526" s="63"/>
      <c r="AA526" s="63"/>
      <c r="AC526" s="31"/>
      <c r="AN526" s="32"/>
      <c r="AO526" s="98"/>
    </row>
    <row r="527" spans="6:41">
      <c r="F527" s="31"/>
      <c r="M527" s="31"/>
      <c r="U527" s="31"/>
      <c r="W527" s="63"/>
      <c r="AA527" s="63"/>
      <c r="AC527" s="31"/>
      <c r="AN527" s="32"/>
      <c r="AO527" s="98"/>
    </row>
    <row r="528" spans="6:41">
      <c r="F528" s="31"/>
      <c r="M528" s="31"/>
      <c r="U528" s="31"/>
      <c r="W528" s="63"/>
      <c r="AA528" s="63"/>
      <c r="AC528" s="31"/>
      <c r="AN528" s="32"/>
      <c r="AO528" s="98"/>
    </row>
    <row r="529" spans="6:41">
      <c r="F529" s="31"/>
      <c r="M529" s="31"/>
      <c r="U529" s="31"/>
      <c r="W529" s="63"/>
      <c r="AA529" s="63"/>
      <c r="AC529" s="31"/>
      <c r="AN529" s="32"/>
      <c r="AO529" s="98"/>
    </row>
    <row r="530" spans="6:41">
      <c r="F530" s="31"/>
      <c r="M530" s="31"/>
      <c r="U530" s="31"/>
      <c r="W530" s="63"/>
      <c r="AA530" s="63"/>
      <c r="AC530" s="31"/>
      <c r="AN530" s="32"/>
      <c r="AO530" s="98"/>
    </row>
    <row r="531" spans="6:41">
      <c r="F531" s="31"/>
      <c r="M531" s="31"/>
      <c r="U531" s="31"/>
      <c r="W531" s="63"/>
      <c r="AA531" s="63"/>
      <c r="AC531" s="31"/>
      <c r="AN531" s="32"/>
      <c r="AO531" s="98"/>
    </row>
    <row r="532" spans="6:41">
      <c r="F532" s="31"/>
      <c r="M532" s="31"/>
      <c r="U532" s="31"/>
      <c r="W532" s="63"/>
      <c r="AA532" s="63"/>
      <c r="AC532" s="31"/>
      <c r="AN532" s="32"/>
      <c r="AO532" s="98"/>
    </row>
    <row r="533" spans="6:41">
      <c r="F533" s="31"/>
      <c r="M533" s="31"/>
      <c r="U533" s="31"/>
      <c r="W533" s="63"/>
      <c r="AA533" s="63"/>
      <c r="AC533" s="31"/>
      <c r="AN533" s="32"/>
      <c r="AO533" s="98"/>
    </row>
    <row r="534" spans="6:41">
      <c r="F534" s="31"/>
      <c r="M534" s="31"/>
      <c r="U534" s="31"/>
      <c r="W534" s="63"/>
      <c r="AA534" s="63"/>
      <c r="AC534" s="31"/>
      <c r="AN534" s="32"/>
      <c r="AO534" s="98"/>
    </row>
    <row r="535" spans="6:41">
      <c r="F535" s="31"/>
      <c r="M535" s="31"/>
      <c r="U535" s="31"/>
      <c r="W535" s="63"/>
      <c r="AA535" s="63"/>
      <c r="AC535" s="31"/>
      <c r="AN535" s="32"/>
      <c r="AO535" s="98"/>
    </row>
    <row r="536" spans="6:41">
      <c r="F536" s="31"/>
      <c r="M536" s="31"/>
      <c r="U536" s="31"/>
      <c r="W536" s="63"/>
      <c r="AA536" s="63"/>
      <c r="AC536" s="31"/>
      <c r="AN536" s="32"/>
      <c r="AO536" s="98"/>
    </row>
    <row r="537" spans="6:41">
      <c r="F537" s="31"/>
      <c r="M537" s="31"/>
      <c r="U537" s="31"/>
      <c r="W537" s="63"/>
      <c r="AA537" s="63"/>
      <c r="AC537" s="31"/>
      <c r="AN537" s="32"/>
      <c r="AO537" s="98"/>
    </row>
    <row r="538" spans="6:41">
      <c r="F538" s="31"/>
      <c r="M538" s="31"/>
      <c r="U538" s="31"/>
      <c r="W538" s="63"/>
      <c r="AA538" s="63"/>
      <c r="AC538" s="31"/>
      <c r="AN538" s="32"/>
      <c r="AO538" s="98"/>
    </row>
    <row r="539" spans="6:41">
      <c r="F539" s="31"/>
      <c r="M539" s="31"/>
      <c r="U539" s="31"/>
      <c r="W539" s="63"/>
      <c r="AA539" s="63"/>
      <c r="AC539" s="31"/>
      <c r="AN539" s="32"/>
      <c r="AO539" s="98"/>
    </row>
    <row r="540" spans="6:41">
      <c r="F540" s="31"/>
      <c r="M540" s="31"/>
      <c r="U540" s="31"/>
      <c r="W540" s="63"/>
      <c r="AA540" s="63"/>
      <c r="AC540" s="31"/>
      <c r="AN540" s="32"/>
      <c r="AO540" s="98"/>
    </row>
    <row r="541" spans="6:41">
      <c r="F541" s="31"/>
      <c r="M541" s="31"/>
      <c r="U541" s="31"/>
      <c r="W541" s="63"/>
      <c r="AA541" s="63"/>
      <c r="AC541" s="31"/>
      <c r="AN541" s="32"/>
      <c r="AO541" s="98"/>
    </row>
    <row r="542" spans="6:41">
      <c r="F542" s="31"/>
      <c r="M542" s="31"/>
      <c r="U542" s="31"/>
      <c r="W542" s="63"/>
      <c r="AA542" s="63"/>
      <c r="AC542" s="31"/>
      <c r="AN542" s="32"/>
      <c r="AO542" s="98"/>
    </row>
    <row r="543" spans="6:41">
      <c r="F543" s="31"/>
      <c r="M543" s="31"/>
      <c r="U543" s="31"/>
      <c r="W543" s="63"/>
      <c r="AA543" s="63"/>
      <c r="AC543" s="31"/>
      <c r="AN543" s="32"/>
      <c r="AO543" s="98"/>
    </row>
    <row r="544" spans="6:41">
      <c r="F544" s="31"/>
      <c r="M544" s="31"/>
      <c r="U544" s="31"/>
      <c r="W544" s="63"/>
      <c r="AA544" s="63"/>
      <c r="AC544" s="31"/>
      <c r="AN544" s="32"/>
      <c r="AO544" s="98"/>
    </row>
    <row r="545" spans="6:41">
      <c r="F545" s="31"/>
      <c r="M545" s="31"/>
      <c r="U545" s="31"/>
      <c r="W545" s="63"/>
      <c r="AA545" s="63"/>
      <c r="AC545" s="31"/>
      <c r="AN545" s="32"/>
      <c r="AO545" s="98"/>
    </row>
    <row r="546" spans="6:41">
      <c r="F546" s="31"/>
      <c r="M546" s="31"/>
      <c r="U546" s="31"/>
      <c r="W546" s="63"/>
      <c r="AA546" s="63"/>
      <c r="AC546" s="31"/>
      <c r="AN546" s="32"/>
      <c r="AO546" s="98"/>
    </row>
    <row r="547" spans="6:41">
      <c r="F547" s="31"/>
      <c r="M547" s="31"/>
      <c r="U547" s="31"/>
      <c r="W547" s="63"/>
      <c r="AA547" s="63"/>
      <c r="AC547" s="31"/>
      <c r="AN547" s="32"/>
      <c r="AO547" s="98"/>
    </row>
    <row r="548" spans="6:41">
      <c r="F548" s="31"/>
      <c r="M548" s="31"/>
      <c r="U548" s="31"/>
      <c r="W548" s="63"/>
      <c r="AA548" s="63"/>
      <c r="AC548" s="31"/>
      <c r="AN548" s="32"/>
      <c r="AO548" s="98"/>
    </row>
    <row r="549" spans="6:41">
      <c r="F549" s="31"/>
      <c r="M549" s="31"/>
      <c r="U549" s="31"/>
      <c r="W549" s="63"/>
      <c r="AA549" s="63"/>
      <c r="AC549" s="31"/>
      <c r="AN549" s="32"/>
      <c r="AO549" s="98"/>
    </row>
    <row r="550" spans="6:41">
      <c r="F550" s="31"/>
      <c r="M550" s="31"/>
      <c r="U550" s="31"/>
      <c r="W550" s="63"/>
      <c r="AA550" s="63"/>
      <c r="AC550" s="31"/>
      <c r="AN550" s="32"/>
      <c r="AO550" s="98"/>
    </row>
    <row r="551" spans="6:41">
      <c r="F551" s="31"/>
      <c r="M551" s="31"/>
      <c r="U551" s="31"/>
      <c r="W551" s="63"/>
      <c r="AA551" s="63"/>
      <c r="AC551" s="31"/>
      <c r="AN551" s="32"/>
      <c r="AO551" s="98"/>
    </row>
    <row r="552" spans="6:41">
      <c r="F552" s="31"/>
      <c r="M552" s="31"/>
      <c r="U552" s="31"/>
      <c r="W552" s="63"/>
      <c r="AA552" s="63"/>
      <c r="AC552" s="31"/>
      <c r="AN552" s="32"/>
      <c r="AO552" s="98"/>
    </row>
    <row r="553" spans="6:41">
      <c r="F553" s="31"/>
      <c r="M553" s="31"/>
      <c r="U553" s="31"/>
      <c r="W553" s="63"/>
      <c r="AA553" s="63"/>
      <c r="AC553" s="31"/>
      <c r="AN553" s="32"/>
      <c r="AO553" s="98"/>
    </row>
    <row r="554" spans="6:41">
      <c r="F554" s="31"/>
      <c r="M554" s="31"/>
      <c r="U554" s="31"/>
      <c r="W554" s="63"/>
      <c r="AA554" s="63"/>
      <c r="AC554" s="31"/>
      <c r="AN554" s="32"/>
      <c r="AO554" s="98"/>
    </row>
    <row r="555" spans="6:41">
      <c r="F555" s="31"/>
      <c r="M555" s="31"/>
      <c r="U555" s="31"/>
      <c r="W555" s="63"/>
      <c r="AA555" s="63"/>
      <c r="AC555" s="31"/>
      <c r="AN555" s="32"/>
      <c r="AO555" s="98"/>
    </row>
    <row r="556" spans="6:41">
      <c r="F556" s="31"/>
      <c r="M556" s="31"/>
      <c r="U556" s="31"/>
      <c r="W556" s="63"/>
      <c r="AA556" s="63"/>
      <c r="AC556" s="31"/>
      <c r="AN556" s="32"/>
      <c r="AO556" s="98"/>
    </row>
    <row r="557" spans="6:41">
      <c r="F557" s="31"/>
      <c r="M557" s="31"/>
      <c r="U557" s="31"/>
      <c r="W557" s="63"/>
      <c r="AA557" s="63"/>
      <c r="AC557" s="31"/>
      <c r="AN557" s="32"/>
      <c r="AO557" s="98"/>
    </row>
    <row r="558" spans="6:41">
      <c r="F558" s="31"/>
      <c r="M558" s="31"/>
      <c r="U558" s="31"/>
      <c r="W558" s="63"/>
      <c r="AA558" s="63"/>
      <c r="AC558" s="31"/>
      <c r="AN558" s="32"/>
      <c r="AO558" s="98"/>
    </row>
    <row r="559" spans="6:41">
      <c r="F559" s="31"/>
      <c r="M559" s="31"/>
      <c r="U559" s="31"/>
      <c r="W559" s="63"/>
      <c r="AA559" s="63"/>
      <c r="AC559" s="31"/>
      <c r="AN559" s="32"/>
      <c r="AO559" s="98"/>
    </row>
    <row r="560" spans="6:41">
      <c r="F560" s="31"/>
      <c r="M560" s="31"/>
      <c r="U560" s="31"/>
      <c r="W560" s="63"/>
      <c r="AA560" s="63"/>
      <c r="AC560" s="31"/>
      <c r="AN560" s="32"/>
      <c r="AO560" s="98"/>
    </row>
    <row r="561" spans="6:41">
      <c r="F561" s="31"/>
      <c r="M561" s="31"/>
      <c r="U561" s="31"/>
      <c r="W561" s="63"/>
      <c r="AA561" s="63"/>
      <c r="AC561" s="31"/>
      <c r="AN561" s="32"/>
      <c r="AO561" s="98"/>
    </row>
    <row r="562" spans="6:41">
      <c r="F562" s="31"/>
      <c r="M562" s="31"/>
      <c r="U562" s="31"/>
      <c r="W562" s="63"/>
      <c r="AA562" s="63"/>
      <c r="AC562" s="31"/>
      <c r="AN562" s="32"/>
      <c r="AO562" s="98"/>
    </row>
    <row r="563" spans="6:41">
      <c r="F563" s="31"/>
      <c r="M563" s="31"/>
      <c r="U563" s="31"/>
      <c r="W563" s="63"/>
      <c r="AA563" s="63"/>
      <c r="AC563" s="31"/>
      <c r="AN563" s="32"/>
      <c r="AO563" s="98"/>
    </row>
    <row r="564" spans="6:41">
      <c r="F564" s="31"/>
      <c r="M564" s="31"/>
      <c r="U564" s="31"/>
      <c r="W564" s="63"/>
      <c r="AA564" s="63"/>
      <c r="AC564" s="31"/>
      <c r="AN564" s="32"/>
      <c r="AO564" s="98"/>
    </row>
    <row r="565" spans="6:41">
      <c r="F565" s="31"/>
      <c r="M565" s="31"/>
      <c r="U565" s="31"/>
      <c r="W565" s="63"/>
      <c r="AA565" s="63"/>
      <c r="AC565" s="31"/>
      <c r="AN565" s="32"/>
      <c r="AO565" s="98"/>
    </row>
    <row r="566" spans="6:41">
      <c r="F566" s="31"/>
      <c r="M566" s="31"/>
      <c r="U566" s="31"/>
      <c r="W566" s="63"/>
      <c r="AA566" s="63"/>
      <c r="AC566" s="31"/>
      <c r="AN566" s="32"/>
      <c r="AO566" s="98"/>
    </row>
    <row r="567" spans="6:41">
      <c r="F567" s="31"/>
      <c r="M567" s="31"/>
      <c r="U567" s="31"/>
      <c r="W567" s="63"/>
      <c r="AA567" s="63"/>
      <c r="AC567" s="31"/>
      <c r="AN567" s="32"/>
      <c r="AO567" s="98"/>
    </row>
    <row r="568" spans="6:41">
      <c r="F568" s="31"/>
      <c r="M568" s="31"/>
      <c r="U568" s="31"/>
      <c r="W568" s="63"/>
      <c r="AA568" s="63"/>
      <c r="AC568" s="31"/>
      <c r="AN568" s="32"/>
      <c r="AO568" s="98"/>
    </row>
    <row r="569" spans="6:41">
      <c r="F569" s="31"/>
      <c r="M569" s="31"/>
      <c r="U569" s="31"/>
      <c r="W569" s="63"/>
      <c r="AA569" s="63"/>
      <c r="AC569" s="31"/>
      <c r="AN569" s="32"/>
      <c r="AO569" s="98"/>
    </row>
    <row r="570" spans="6:41">
      <c r="F570" s="31"/>
      <c r="M570" s="31"/>
      <c r="U570" s="31"/>
      <c r="W570" s="63"/>
      <c r="AA570" s="63"/>
      <c r="AC570" s="31"/>
      <c r="AN570" s="32"/>
      <c r="AO570" s="98"/>
    </row>
    <row r="571" spans="6:41">
      <c r="F571" s="31"/>
      <c r="M571" s="31"/>
      <c r="U571" s="31"/>
      <c r="W571" s="63"/>
      <c r="AA571" s="63"/>
      <c r="AC571" s="31"/>
      <c r="AN571" s="32"/>
      <c r="AO571" s="98"/>
    </row>
    <row r="572" spans="6:41">
      <c r="F572" s="31"/>
      <c r="M572" s="31"/>
      <c r="U572" s="31"/>
      <c r="W572" s="63"/>
      <c r="AA572" s="63"/>
      <c r="AC572" s="31"/>
      <c r="AN572" s="32"/>
      <c r="AO572" s="98"/>
    </row>
    <row r="573" spans="6:41">
      <c r="F573" s="31"/>
      <c r="M573" s="31"/>
      <c r="U573" s="31"/>
      <c r="W573" s="63"/>
      <c r="AA573" s="63"/>
      <c r="AC573" s="31"/>
      <c r="AN573" s="32"/>
      <c r="AO573" s="98"/>
    </row>
    <row r="574" spans="6:41">
      <c r="F574" s="31"/>
      <c r="M574" s="31"/>
      <c r="U574" s="31"/>
      <c r="W574" s="63"/>
      <c r="AA574" s="63"/>
      <c r="AC574" s="31"/>
      <c r="AN574" s="32"/>
      <c r="AO574" s="98"/>
    </row>
    <row r="575" spans="6:41">
      <c r="F575" s="31"/>
      <c r="M575" s="31"/>
      <c r="U575" s="31"/>
      <c r="W575" s="63"/>
      <c r="AA575" s="63"/>
      <c r="AC575" s="31"/>
      <c r="AN575" s="32"/>
      <c r="AO575" s="98"/>
    </row>
    <row r="576" spans="6:41">
      <c r="F576" s="31"/>
      <c r="M576" s="31"/>
      <c r="U576" s="31"/>
      <c r="W576" s="63"/>
      <c r="AA576" s="63"/>
      <c r="AC576" s="31"/>
      <c r="AN576" s="32"/>
      <c r="AO576" s="98"/>
    </row>
    <row r="577" spans="6:41">
      <c r="F577" s="31"/>
      <c r="M577" s="31"/>
      <c r="U577" s="31"/>
      <c r="W577" s="63"/>
      <c r="AA577" s="63"/>
      <c r="AC577" s="31"/>
      <c r="AN577" s="32"/>
      <c r="AO577" s="98"/>
    </row>
    <row r="578" spans="6:41">
      <c r="F578" s="31"/>
      <c r="M578" s="31"/>
      <c r="U578" s="31"/>
      <c r="W578" s="63"/>
      <c r="AA578" s="63"/>
      <c r="AC578" s="31"/>
      <c r="AN578" s="32"/>
      <c r="AO578" s="98"/>
    </row>
    <row r="579" spans="6:41">
      <c r="F579" s="31"/>
      <c r="M579" s="31"/>
      <c r="U579" s="31"/>
      <c r="W579" s="63"/>
      <c r="AA579" s="63"/>
      <c r="AC579" s="31"/>
      <c r="AN579" s="32"/>
      <c r="AO579" s="98"/>
    </row>
    <row r="580" spans="6:41">
      <c r="F580" s="31"/>
      <c r="M580" s="31"/>
      <c r="U580" s="31"/>
      <c r="W580" s="63"/>
      <c r="AA580" s="63"/>
      <c r="AC580" s="31"/>
      <c r="AN580" s="32"/>
      <c r="AO580" s="98"/>
    </row>
    <row r="581" spans="6:41">
      <c r="F581" s="31"/>
      <c r="M581" s="31"/>
      <c r="U581" s="31"/>
      <c r="W581" s="63"/>
      <c r="AA581" s="63"/>
      <c r="AC581" s="31"/>
      <c r="AN581" s="32"/>
      <c r="AO581" s="98"/>
    </row>
    <row r="582" spans="6:41">
      <c r="F582" s="31"/>
      <c r="M582" s="31"/>
      <c r="U582" s="31"/>
      <c r="W582" s="63"/>
      <c r="AA582" s="63"/>
      <c r="AC582" s="31"/>
      <c r="AN582" s="32"/>
      <c r="AO582" s="98"/>
    </row>
    <row r="583" spans="6:41">
      <c r="F583" s="31"/>
      <c r="M583" s="31"/>
      <c r="U583" s="31"/>
      <c r="W583" s="63"/>
      <c r="AA583" s="63"/>
      <c r="AC583" s="31"/>
      <c r="AN583" s="32"/>
      <c r="AO583" s="98"/>
    </row>
    <row r="584" spans="6:41">
      <c r="F584" s="31"/>
      <c r="M584" s="31"/>
      <c r="U584" s="31"/>
      <c r="W584" s="63"/>
      <c r="AA584" s="63"/>
      <c r="AC584" s="31"/>
      <c r="AN584" s="32"/>
      <c r="AO584" s="98"/>
    </row>
    <row r="585" spans="6:41">
      <c r="F585" s="31"/>
      <c r="M585" s="31"/>
      <c r="U585" s="31"/>
      <c r="W585" s="63"/>
      <c r="AA585" s="63"/>
      <c r="AC585" s="31"/>
      <c r="AN585" s="32"/>
      <c r="AO585" s="98"/>
    </row>
    <row r="586" spans="6:41">
      <c r="F586" s="31"/>
      <c r="M586" s="31"/>
      <c r="U586" s="31"/>
      <c r="W586" s="63"/>
      <c r="AA586" s="63"/>
      <c r="AC586" s="31"/>
      <c r="AN586" s="32"/>
      <c r="AO586" s="98"/>
    </row>
    <row r="587" spans="6:41">
      <c r="F587" s="31"/>
      <c r="M587" s="31"/>
      <c r="U587" s="31"/>
      <c r="W587" s="63"/>
      <c r="AA587" s="63"/>
      <c r="AC587" s="31"/>
      <c r="AN587" s="32"/>
      <c r="AO587" s="98"/>
    </row>
    <row r="588" spans="6:41">
      <c r="F588" s="31"/>
      <c r="M588" s="31"/>
      <c r="U588" s="31"/>
      <c r="W588" s="63"/>
      <c r="AA588" s="63"/>
      <c r="AC588" s="31"/>
      <c r="AN588" s="32"/>
      <c r="AO588" s="98"/>
    </row>
    <row r="589" spans="6:41">
      <c r="F589" s="31"/>
      <c r="M589" s="31"/>
      <c r="U589" s="31"/>
      <c r="W589" s="63"/>
      <c r="AA589" s="63"/>
      <c r="AC589" s="31"/>
      <c r="AN589" s="32"/>
      <c r="AO589" s="98"/>
    </row>
    <row r="590" spans="6:41">
      <c r="F590" s="31"/>
      <c r="M590" s="31"/>
      <c r="U590" s="31"/>
      <c r="W590" s="63"/>
      <c r="AA590" s="63"/>
      <c r="AC590" s="31"/>
      <c r="AN590" s="32"/>
      <c r="AO590" s="98"/>
    </row>
    <row r="591" spans="6:41">
      <c r="F591" s="31"/>
      <c r="M591" s="31"/>
      <c r="U591" s="31"/>
      <c r="W591" s="63"/>
      <c r="AA591" s="63"/>
      <c r="AC591" s="31"/>
      <c r="AN591" s="32"/>
      <c r="AO591" s="98"/>
    </row>
    <row r="592" spans="6:41">
      <c r="F592" s="31"/>
      <c r="M592" s="31"/>
      <c r="U592" s="31"/>
      <c r="W592" s="63"/>
      <c r="AA592" s="63"/>
      <c r="AC592" s="31"/>
      <c r="AN592" s="32"/>
      <c r="AO592" s="98"/>
    </row>
    <row r="593" spans="6:41">
      <c r="F593" s="31"/>
      <c r="M593" s="31"/>
      <c r="U593" s="31"/>
      <c r="W593" s="63"/>
      <c r="AA593" s="63"/>
      <c r="AC593" s="31"/>
      <c r="AN593" s="32"/>
      <c r="AO593" s="98"/>
    </row>
    <row r="594" spans="6:41">
      <c r="F594" s="31"/>
      <c r="M594" s="31"/>
      <c r="U594" s="31"/>
      <c r="W594" s="63"/>
      <c r="AA594" s="63"/>
      <c r="AC594" s="31"/>
      <c r="AN594" s="32"/>
      <c r="AO594" s="98"/>
    </row>
    <row r="595" spans="6:41">
      <c r="F595" s="31"/>
      <c r="M595" s="31"/>
      <c r="U595" s="31"/>
      <c r="W595" s="63"/>
      <c r="AA595" s="63"/>
      <c r="AC595" s="31"/>
      <c r="AN595" s="32"/>
      <c r="AO595" s="98"/>
    </row>
    <row r="596" spans="6:41">
      <c r="F596" s="31"/>
      <c r="M596" s="31"/>
      <c r="U596" s="31"/>
      <c r="W596" s="63"/>
      <c r="AA596" s="63"/>
      <c r="AC596" s="31"/>
      <c r="AN596" s="32"/>
      <c r="AO596" s="98"/>
    </row>
    <row r="597" spans="6:41">
      <c r="F597" s="31"/>
      <c r="M597" s="31"/>
      <c r="U597" s="31"/>
      <c r="W597" s="63"/>
      <c r="AA597" s="63"/>
      <c r="AC597" s="31"/>
      <c r="AN597" s="32"/>
      <c r="AO597" s="98"/>
    </row>
    <row r="598" spans="6:41">
      <c r="F598" s="31"/>
      <c r="M598" s="31"/>
      <c r="U598" s="31"/>
      <c r="W598" s="63"/>
      <c r="AA598" s="63"/>
      <c r="AC598" s="31"/>
      <c r="AN598" s="32"/>
      <c r="AO598" s="98"/>
    </row>
    <row r="599" spans="6:41">
      <c r="F599" s="31"/>
      <c r="M599" s="31"/>
      <c r="U599" s="31"/>
      <c r="W599" s="63"/>
      <c r="AA599" s="63"/>
      <c r="AC599" s="31"/>
      <c r="AN599" s="32"/>
      <c r="AO599" s="98"/>
    </row>
    <row r="600" spans="6:41">
      <c r="F600" s="31"/>
      <c r="M600" s="31"/>
      <c r="U600" s="31"/>
      <c r="W600" s="63"/>
      <c r="AA600" s="63"/>
      <c r="AC600" s="31"/>
      <c r="AN600" s="32"/>
      <c r="AO600" s="98"/>
    </row>
    <row r="601" spans="6:41">
      <c r="F601" s="31"/>
      <c r="M601" s="31"/>
      <c r="U601" s="31"/>
      <c r="W601" s="63"/>
      <c r="AA601" s="63"/>
      <c r="AC601" s="31"/>
      <c r="AN601" s="32"/>
      <c r="AO601" s="98"/>
    </row>
    <row r="602" spans="6:41">
      <c r="F602" s="31"/>
      <c r="M602" s="31"/>
      <c r="U602" s="31"/>
      <c r="W602" s="63"/>
      <c r="AA602" s="63"/>
      <c r="AC602" s="31"/>
      <c r="AN602" s="32"/>
      <c r="AO602" s="98"/>
    </row>
    <row r="603" spans="6:41">
      <c r="F603" s="31"/>
      <c r="M603" s="31"/>
      <c r="U603" s="31"/>
      <c r="W603" s="63"/>
      <c r="AA603" s="63"/>
      <c r="AC603" s="31"/>
      <c r="AN603" s="32"/>
      <c r="AO603" s="98"/>
    </row>
    <row r="604" spans="6:41">
      <c r="F604" s="31"/>
      <c r="M604" s="31"/>
      <c r="U604" s="31"/>
      <c r="W604" s="63"/>
      <c r="AA604" s="63"/>
      <c r="AC604" s="31"/>
      <c r="AN604" s="32"/>
      <c r="AO604" s="98"/>
    </row>
    <row r="605" spans="6:41">
      <c r="F605" s="31"/>
      <c r="M605" s="31"/>
      <c r="U605" s="31"/>
      <c r="W605" s="63"/>
      <c r="AA605" s="63"/>
      <c r="AC605" s="31"/>
      <c r="AN605" s="32"/>
      <c r="AO605" s="98"/>
    </row>
    <row r="606" spans="6:41">
      <c r="F606" s="31"/>
      <c r="M606" s="31"/>
      <c r="U606" s="31"/>
      <c r="W606" s="63"/>
      <c r="AA606" s="63"/>
      <c r="AC606" s="31"/>
      <c r="AN606" s="32"/>
      <c r="AO606" s="98"/>
    </row>
    <row r="607" spans="6:41">
      <c r="F607" s="31"/>
      <c r="M607" s="31"/>
      <c r="U607" s="31"/>
      <c r="W607" s="63"/>
      <c r="AA607" s="63"/>
      <c r="AC607" s="31"/>
      <c r="AN607" s="32"/>
      <c r="AO607" s="98"/>
    </row>
    <row r="608" spans="6:41">
      <c r="F608" s="31"/>
      <c r="M608" s="31"/>
      <c r="U608" s="31"/>
      <c r="W608" s="63"/>
      <c r="AA608" s="63"/>
      <c r="AC608" s="31"/>
      <c r="AN608" s="32"/>
      <c r="AO608" s="98"/>
    </row>
    <row r="609" spans="6:41">
      <c r="F609" s="31"/>
      <c r="M609" s="31"/>
      <c r="U609" s="31"/>
      <c r="W609" s="63"/>
      <c r="AA609" s="63"/>
      <c r="AC609" s="31"/>
      <c r="AN609" s="32"/>
      <c r="AO609" s="98"/>
    </row>
    <row r="610" spans="6:41">
      <c r="F610" s="31"/>
      <c r="M610" s="31"/>
      <c r="U610" s="31"/>
      <c r="W610" s="63"/>
      <c r="AA610" s="63"/>
      <c r="AC610" s="31"/>
      <c r="AN610" s="32"/>
      <c r="AO610" s="98"/>
    </row>
    <row r="611" spans="6:41">
      <c r="F611" s="31"/>
      <c r="M611" s="31"/>
      <c r="U611" s="31"/>
      <c r="W611" s="63"/>
      <c r="AA611" s="63"/>
      <c r="AC611" s="31"/>
      <c r="AN611" s="32"/>
      <c r="AO611" s="98"/>
    </row>
    <row r="612" spans="6:41">
      <c r="F612" s="31"/>
      <c r="M612" s="31"/>
      <c r="U612" s="31"/>
      <c r="W612" s="63"/>
      <c r="AA612" s="63"/>
      <c r="AC612" s="31"/>
      <c r="AN612" s="32"/>
      <c r="AO612" s="98"/>
    </row>
    <row r="613" spans="6:41">
      <c r="F613" s="31"/>
      <c r="M613" s="31"/>
      <c r="U613" s="31"/>
      <c r="W613" s="63"/>
      <c r="AA613" s="63"/>
      <c r="AC613" s="31"/>
      <c r="AN613" s="32"/>
      <c r="AO613" s="98"/>
    </row>
    <row r="614" spans="6:41">
      <c r="F614" s="31"/>
      <c r="M614" s="31"/>
      <c r="U614" s="31"/>
      <c r="W614" s="63"/>
      <c r="AA614" s="63"/>
      <c r="AC614" s="31"/>
      <c r="AN614" s="32"/>
      <c r="AO614" s="98"/>
    </row>
    <row r="615" spans="6:41">
      <c r="F615" s="31"/>
      <c r="M615" s="31"/>
      <c r="U615" s="31"/>
      <c r="W615" s="63"/>
      <c r="AA615" s="63"/>
      <c r="AC615" s="31"/>
      <c r="AN615" s="32"/>
      <c r="AO615" s="98"/>
    </row>
    <row r="616" spans="6:41">
      <c r="F616" s="31"/>
      <c r="M616" s="31"/>
      <c r="U616" s="31"/>
      <c r="W616" s="63"/>
      <c r="AA616" s="63"/>
      <c r="AC616" s="31"/>
      <c r="AN616" s="32"/>
      <c r="AO616" s="98"/>
    </row>
    <row r="617" spans="6:41">
      <c r="F617" s="31"/>
      <c r="M617" s="31"/>
      <c r="U617" s="31"/>
      <c r="W617" s="63"/>
      <c r="AA617" s="63"/>
      <c r="AC617" s="31"/>
      <c r="AN617" s="32"/>
      <c r="AO617" s="98"/>
    </row>
    <row r="618" spans="6:41">
      <c r="F618" s="31"/>
      <c r="M618" s="31"/>
      <c r="U618" s="31"/>
      <c r="W618" s="63"/>
      <c r="AA618" s="63"/>
      <c r="AC618" s="31"/>
      <c r="AN618" s="32"/>
      <c r="AO618" s="98"/>
    </row>
    <row r="619" spans="6:41">
      <c r="F619" s="31"/>
      <c r="M619" s="31"/>
      <c r="U619" s="31"/>
      <c r="W619" s="63"/>
      <c r="AA619" s="63"/>
      <c r="AC619" s="31"/>
      <c r="AN619" s="32"/>
      <c r="AO619" s="98"/>
    </row>
    <row r="620" spans="6:41">
      <c r="F620" s="31"/>
      <c r="M620" s="31"/>
      <c r="U620" s="31"/>
      <c r="W620" s="63"/>
      <c r="AA620" s="63"/>
      <c r="AC620" s="31"/>
      <c r="AN620" s="32"/>
      <c r="AO620" s="98"/>
    </row>
    <row r="621" spans="6:41">
      <c r="F621" s="31"/>
      <c r="M621" s="31"/>
      <c r="U621" s="31"/>
      <c r="W621" s="63"/>
      <c r="AA621" s="63"/>
      <c r="AC621" s="31"/>
      <c r="AN621" s="32"/>
      <c r="AO621" s="98"/>
    </row>
    <row r="622" spans="6:41">
      <c r="F622" s="31"/>
      <c r="M622" s="31"/>
      <c r="U622" s="31"/>
      <c r="W622" s="63"/>
      <c r="AA622" s="63"/>
      <c r="AC622" s="31"/>
      <c r="AN622" s="32"/>
      <c r="AO622" s="98"/>
    </row>
    <row r="623" spans="6:41">
      <c r="F623" s="31"/>
      <c r="M623" s="31"/>
      <c r="U623" s="31"/>
      <c r="W623" s="63"/>
      <c r="AA623" s="63"/>
      <c r="AC623" s="31"/>
      <c r="AN623" s="32"/>
      <c r="AO623" s="98"/>
    </row>
    <row r="624" spans="6:41">
      <c r="F624" s="31"/>
      <c r="M624" s="31"/>
      <c r="U624" s="31"/>
      <c r="W624" s="63"/>
      <c r="AA624" s="63"/>
      <c r="AC624" s="31"/>
      <c r="AN624" s="32"/>
      <c r="AO624" s="98"/>
    </row>
    <row r="625" spans="6:41">
      <c r="F625" s="31"/>
      <c r="M625" s="31"/>
      <c r="U625" s="31"/>
      <c r="W625" s="63"/>
      <c r="AA625" s="63"/>
      <c r="AC625" s="31"/>
      <c r="AN625" s="32"/>
      <c r="AO625" s="98"/>
    </row>
    <row r="626" spans="6:41">
      <c r="F626" s="31"/>
      <c r="M626" s="31"/>
      <c r="U626" s="31"/>
      <c r="W626" s="63"/>
      <c r="AA626" s="63"/>
      <c r="AC626" s="31"/>
      <c r="AN626" s="32"/>
      <c r="AO626" s="98"/>
    </row>
    <row r="627" spans="6:41">
      <c r="F627" s="31"/>
      <c r="M627" s="31"/>
      <c r="U627" s="31"/>
      <c r="W627" s="63"/>
      <c r="AA627" s="63"/>
      <c r="AC627" s="31"/>
      <c r="AN627" s="32"/>
      <c r="AO627" s="98"/>
    </row>
    <row r="628" spans="6:41">
      <c r="F628" s="31"/>
      <c r="M628" s="31"/>
      <c r="U628" s="31"/>
      <c r="W628" s="63"/>
      <c r="AA628" s="63"/>
      <c r="AC628" s="31"/>
      <c r="AN628" s="32"/>
      <c r="AO628" s="98"/>
    </row>
    <row r="629" spans="6:41">
      <c r="F629" s="31"/>
      <c r="M629" s="31"/>
      <c r="U629" s="31"/>
      <c r="W629" s="63"/>
      <c r="AA629" s="63"/>
      <c r="AC629" s="31"/>
      <c r="AN629" s="32"/>
      <c r="AO629" s="98"/>
    </row>
    <row r="630" spans="6:41">
      <c r="F630" s="31"/>
      <c r="M630" s="31"/>
      <c r="U630" s="31"/>
      <c r="W630" s="63"/>
      <c r="AA630" s="63"/>
      <c r="AC630" s="31"/>
      <c r="AN630" s="32"/>
      <c r="AO630" s="98"/>
    </row>
    <row r="631" spans="6:41">
      <c r="F631" s="31"/>
      <c r="M631" s="31"/>
      <c r="U631" s="31"/>
      <c r="W631" s="63"/>
      <c r="AA631" s="63"/>
      <c r="AC631" s="31"/>
      <c r="AN631" s="32"/>
      <c r="AO631" s="98"/>
    </row>
    <row r="632" spans="6:41">
      <c r="F632" s="31"/>
      <c r="M632" s="31"/>
      <c r="U632" s="31"/>
      <c r="W632" s="63"/>
      <c r="AA632" s="63"/>
      <c r="AC632" s="31"/>
      <c r="AN632" s="32"/>
      <c r="AO632" s="98"/>
    </row>
    <row r="633" spans="6:41">
      <c r="F633" s="31"/>
      <c r="M633" s="31"/>
      <c r="U633" s="31"/>
      <c r="W633" s="63"/>
      <c r="AA633" s="63"/>
      <c r="AC633" s="31"/>
      <c r="AN633" s="32"/>
      <c r="AO633" s="98"/>
    </row>
    <row r="634" spans="6:41">
      <c r="F634" s="31"/>
      <c r="M634" s="31"/>
      <c r="U634" s="31"/>
      <c r="W634" s="63"/>
      <c r="AA634" s="63"/>
      <c r="AC634" s="31"/>
      <c r="AN634" s="32"/>
      <c r="AO634" s="98"/>
    </row>
    <row r="635" spans="6:41">
      <c r="F635" s="31"/>
      <c r="M635" s="31"/>
      <c r="U635" s="31"/>
      <c r="W635" s="63"/>
      <c r="AA635" s="63"/>
      <c r="AC635" s="31"/>
      <c r="AN635" s="32"/>
      <c r="AO635" s="98"/>
    </row>
    <row r="636" spans="6:41">
      <c r="F636" s="31"/>
      <c r="M636" s="31"/>
      <c r="U636" s="31"/>
      <c r="W636" s="63"/>
      <c r="AA636" s="63"/>
      <c r="AC636" s="31"/>
      <c r="AN636" s="32"/>
      <c r="AO636" s="98"/>
    </row>
    <row r="637" spans="6:41">
      <c r="F637" s="31"/>
      <c r="M637" s="31"/>
      <c r="U637" s="31"/>
      <c r="W637" s="63"/>
      <c r="AA637" s="63"/>
      <c r="AC637" s="31"/>
      <c r="AN637" s="32"/>
      <c r="AO637" s="98"/>
    </row>
    <row r="638" spans="6:41">
      <c r="F638" s="31"/>
      <c r="M638" s="31"/>
      <c r="U638" s="31"/>
      <c r="W638" s="63"/>
      <c r="AA638" s="63"/>
      <c r="AC638" s="31"/>
      <c r="AN638" s="32"/>
      <c r="AO638" s="98"/>
    </row>
    <row r="639" spans="6:41">
      <c r="F639" s="31"/>
      <c r="M639" s="31"/>
      <c r="U639" s="31"/>
      <c r="W639" s="63"/>
      <c r="AA639" s="63"/>
      <c r="AC639" s="31"/>
      <c r="AN639" s="32"/>
      <c r="AO639" s="98"/>
    </row>
    <row r="640" spans="6:41">
      <c r="F640" s="31"/>
      <c r="M640" s="31"/>
      <c r="U640" s="31"/>
      <c r="W640" s="63"/>
      <c r="AA640" s="63"/>
      <c r="AC640" s="31"/>
      <c r="AN640" s="32"/>
      <c r="AO640" s="98"/>
    </row>
    <row r="641" spans="6:41">
      <c r="F641" s="31"/>
      <c r="M641" s="31"/>
      <c r="U641" s="31"/>
      <c r="W641" s="63"/>
      <c r="AA641" s="63"/>
      <c r="AC641" s="31"/>
      <c r="AN641" s="32"/>
      <c r="AO641" s="98"/>
    </row>
    <row r="642" spans="6:41">
      <c r="F642" s="31"/>
      <c r="M642" s="31"/>
      <c r="U642" s="31"/>
      <c r="W642" s="63"/>
      <c r="AA642" s="63"/>
      <c r="AC642" s="31"/>
      <c r="AN642" s="32"/>
      <c r="AO642" s="98"/>
    </row>
    <row r="643" spans="6:41">
      <c r="F643" s="31"/>
      <c r="M643" s="31"/>
      <c r="U643" s="31"/>
      <c r="W643" s="63"/>
      <c r="AA643" s="63"/>
      <c r="AC643" s="31"/>
      <c r="AN643" s="32"/>
      <c r="AO643" s="98"/>
    </row>
    <row r="644" spans="6:41">
      <c r="F644" s="31"/>
      <c r="M644" s="31"/>
      <c r="U644" s="31"/>
      <c r="W644" s="63"/>
      <c r="AA644" s="63"/>
      <c r="AC644" s="31"/>
      <c r="AN644" s="32"/>
      <c r="AO644" s="98"/>
    </row>
    <row r="645" spans="6:41">
      <c r="F645" s="31"/>
      <c r="M645" s="31"/>
      <c r="U645" s="31"/>
      <c r="W645" s="63"/>
      <c r="AA645" s="63"/>
      <c r="AC645" s="31"/>
      <c r="AN645" s="32"/>
      <c r="AO645" s="98"/>
    </row>
    <row r="646" spans="6:41">
      <c r="F646" s="31"/>
      <c r="M646" s="31"/>
      <c r="U646" s="31"/>
      <c r="W646" s="63"/>
      <c r="AA646" s="63"/>
      <c r="AC646" s="31"/>
      <c r="AN646" s="32"/>
      <c r="AO646" s="98"/>
    </row>
    <row r="647" spans="6:41">
      <c r="F647" s="31"/>
      <c r="M647" s="31"/>
      <c r="U647" s="31"/>
      <c r="W647" s="63"/>
      <c r="AA647" s="63"/>
      <c r="AC647" s="31"/>
      <c r="AN647" s="32"/>
      <c r="AO647" s="98"/>
    </row>
    <row r="648" spans="6:41">
      <c r="F648" s="31"/>
      <c r="M648" s="31"/>
      <c r="U648" s="31"/>
      <c r="W648" s="63"/>
      <c r="AA648" s="63"/>
      <c r="AC648" s="31"/>
      <c r="AN648" s="32"/>
      <c r="AO648" s="98"/>
    </row>
    <row r="649" spans="6:41">
      <c r="F649" s="31"/>
      <c r="M649" s="31"/>
      <c r="U649" s="31"/>
      <c r="W649" s="63"/>
      <c r="AA649" s="63"/>
      <c r="AC649" s="31"/>
      <c r="AN649" s="32"/>
      <c r="AO649" s="98"/>
    </row>
    <row r="650" spans="6:41">
      <c r="F650" s="31"/>
      <c r="M650" s="31"/>
      <c r="U650" s="31"/>
      <c r="W650" s="63"/>
      <c r="AA650" s="63"/>
      <c r="AC650" s="31"/>
      <c r="AN650" s="32"/>
      <c r="AO650" s="98"/>
    </row>
    <row r="651" spans="6:41">
      <c r="F651" s="31"/>
      <c r="M651" s="31"/>
      <c r="U651" s="31"/>
      <c r="W651" s="63"/>
      <c r="AA651" s="63"/>
      <c r="AC651" s="31"/>
      <c r="AN651" s="32"/>
      <c r="AO651" s="98"/>
    </row>
    <row r="652" spans="6:41">
      <c r="F652" s="31"/>
      <c r="M652" s="31"/>
      <c r="U652" s="31"/>
      <c r="W652" s="63"/>
      <c r="AA652" s="63"/>
      <c r="AC652" s="31"/>
      <c r="AN652" s="32"/>
      <c r="AO652" s="98"/>
    </row>
    <row r="653" spans="6:41">
      <c r="F653" s="31"/>
      <c r="M653" s="31"/>
      <c r="U653" s="31"/>
      <c r="W653" s="63"/>
      <c r="AA653" s="63"/>
      <c r="AC653" s="31"/>
      <c r="AN653" s="32"/>
      <c r="AO653" s="98"/>
    </row>
    <row r="654" spans="6:41">
      <c r="F654" s="31"/>
      <c r="M654" s="31"/>
      <c r="U654" s="31"/>
      <c r="W654" s="63"/>
      <c r="AA654" s="63"/>
      <c r="AC654" s="31"/>
      <c r="AN654" s="32"/>
      <c r="AO654" s="98"/>
    </row>
    <row r="655" spans="6:41">
      <c r="F655" s="31"/>
      <c r="M655" s="31"/>
      <c r="U655" s="31"/>
      <c r="W655" s="63"/>
      <c r="AA655" s="63"/>
      <c r="AC655" s="31"/>
      <c r="AN655" s="32"/>
      <c r="AO655" s="98"/>
    </row>
    <row r="656" spans="6:41">
      <c r="F656" s="31"/>
      <c r="M656" s="31"/>
      <c r="U656" s="31"/>
      <c r="W656" s="63"/>
      <c r="AA656" s="63"/>
      <c r="AC656" s="31"/>
      <c r="AN656" s="32"/>
      <c r="AO656" s="98"/>
    </row>
    <row r="657" spans="6:41">
      <c r="F657" s="31"/>
      <c r="M657" s="31"/>
      <c r="U657" s="31"/>
      <c r="W657" s="63"/>
      <c r="AA657" s="63"/>
      <c r="AC657" s="31"/>
      <c r="AN657" s="32"/>
      <c r="AO657" s="98"/>
    </row>
    <row r="658" spans="6:41">
      <c r="F658" s="31"/>
      <c r="M658" s="31"/>
      <c r="U658" s="31"/>
      <c r="W658" s="63"/>
      <c r="AA658" s="63"/>
      <c r="AC658" s="31"/>
      <c r="AN658" s="32"/>
      <c r="AO658" s="98"/>
    </row>
    <row r="659" spans="6:41">
      <c r="F659" s="31"/>
      <c r="M659" s="31"/>
      <c r="U659" s="31"/>
      <c r="W659" s="63"/>
      <c r="AA659" s="63"/>
      <c r="AC659" s="31"/>
      <c r="AN659" s="32"/>
      <c r="AO659" s="98"/>
    </row>
    <row r="660" spans="6:41">
      <c r="F660" s="31"/>
      <c r="M660" s="31"/>
      <c r="U660" s="31"/>
      <c r="W660" s="63"/>
      <c r="AA660" s="63"/>
      <c r="AC660" s="31"/>
      <c r="AN660" s="32"/>
      <c r="AO660" s="98"/>
    </row>
    <row r="661" spans="6:41">
      <c r="F661" s="31"/>
      <c r="M661" s="31"/>
      <c r="U661" s="31"/>
      <c r="W661" s="63"/>
      <c r="AA661" s="63"/>
      <c r="AC661" s="31"/>
      <c r="AN661" s="32"/>
      <c r="AO661" s="98"/>
    </row>
    <row r="662" spans="6:41">
      <c r="F662" s="31"/>
      <c r="M662" s="31"/>
      <c r="U662" s="31"/>
      <c r="W662" s="63"/>
      <c r="AA662" s="63"/>
      <c r="AC662" s="31"/>
      <c r="AN662" s="32"/>
      <c r="AO662" s="98"/>
    </row>
    <row r="663" spans="6:41">
      <c r="F663" s="31"/>
      <c r="M663" s="31"/>
      <c r="U663" s="31"/>
      <c r="W663" s="63"/>
      <c r="AA663" s="63"/>
      <c r="AC663" s="31"/>
      <c r="AN663" s="32"/>
      <c r="AO663" s="98"/>
    </row>
    <row r="664" spans="6:41">
      <c r="F664" s="31"/>
      <c r="M664" s="31"/>
      <c r="U664" s="31"/>
      <c r="W664" s="63"/>
      <c r="AA664" s="63"/>
      <c r="AC664" s="31"/>
      <c r="AN664" s="32"/>
      <c r="AO664" s="98"/>
    </row>
    <row r="665" spans="6:41">
      <c r="F665" s="31"/>
      <c r="M665" s="31"/>
      <c r="U665" s="31"/>
      <c r="W665" s="63"/>
      <c r="AA665" s="63"/>
      <c r="AC665" s="31"/>
      <c r="AN665" s="32"/>
      <c r="AO665" s="98"/>
    </row>
    <row r="666" spans="6:41">
      <c r="F666" s="31"/>
      <c r="M666" s="31"/>
      <c r="U666" s="31"/>
      <c r="W666" s="63"/>
      <c r="AA666" s="63"/>
      <c r="AC666" s="31"/>
      <c r="AN666" s="32"/>
      <c r="AO666" s="98"/>
    </row>
    <row r="667" spans="6:41">
      <c r="F667" s="31"/>
      <c r="M667" s="31"/>
      <c r="U667" s="31"/>
      <c r="W667" s="63"/>
      <c r="AA667" s="63"/>
      <c r="AC667" s="31"/>
      <c r="AN667" s="32"/>
      <c r="AO667" s="98"/>
    </row>
    <row r="668" spans="6:41">
      <c r="F668" s="31"/>
      <c r="M668" s="31"/>
      <c r="U668" s="31"/>
      <c r="W668" s="63"/>
      <c r="AA668" s="63"/>
      <c r="AC668" s="31"/>
      <c r="AN668" s="32"/>
      <c r="AO668" s="98"/>
    </row>
    <row r="669" spans="6:41">
      <c r="F669" s="31"/>
      <c r="M669" s="31"/>
      <c r="U669" s="31"/>
      <c r="W669" s="63"/>
      <c r="AA669" s="63"/>
      <c r="AC669" s="31"/>
      <c r="AN669" s="32"/>
      <c r="AO669" s="98"/>
    </row>
    <row r="670" spans="6:41">
      <c r="F670" s="31"/>
      <c r="M670" s="31"/>
      <c r="U670" s="31"/>
      <c r="W670" s="63"/>
      <c r="AA670" s="63"/>
      <c r="AC670" s="31"/>
      <c r="AN670" s="32"/>
      <c r="AO670" s="98"/>
    </row>
    <row r="671" spans="6:41">
      <c r="F671" s="31"/>
      <c r="M671" s="31"/>
      <c r="U671" s="31"/>
      <c r="W671" s="63"/>
      <c r="AA671" s="63"/>
      <c r="AC671" s="31"/>
      <c r="AN671" s="32"/>
      <c r="AO671" s="98"/>
    </row>
    <row r="672" spans="6:41">
      <c r="F672" s="31"/>
      <c r="M672" s="31"/>
      <c r="U672" s="31"/>
      <c r="W672" s="63"/>
      <c r="AA672" s="63"/>
      <c r="AC672" s="31"/>
      <c r="AN672" s="32"/>
      <c r="AO672" s="98"/>
    </row>
    <row r="673" spans="6:41">
      <c r="F673" s="31"/>
      <c r="M673" s="31"/>
      <c r="U673" s="31"/>
      <c r="W673" s="63"/>
      <c r="AA673" s="63"/>
      <c r="AC673" s="31"/>
      <c r="AN673" s="32"/>
      <c r="AO673" s="98"/>
    </row>
    <row r="674" spans="6:41">
      <c r="F674" s="31"/>
      <c r="M674" s="31"/>
      <c r="U674" s="31"/>
      <c r="W674" s="63"/>
      <c r="AA674" s="63"/>
      <c r="AC674" s="31"/>
      <c r="AN674" s="32"/>
      <c r="AO674" s="98"/>
    </row>
    <row r="675" spans="6:41">
      <c r="F675" s="31"/>
      <c r="M675" s="31"/>
      <c r="U675" s="31"/>
      <c r="W675" s="63"/>
      <c r="AA675" s="63"/>
      <c r="AC675" s="31"/>
      <c r="AN675" s="32"/>
      <c r="AO675" s="98"/>
    </row>
    <row r="676" spans="6:41">
      <c r="F676" s="31"/>
      <c r="M676" s="31"/>
      <c r="U676" s="31"/>
      <c r="W676" s="63"/>
      <c r="AA676" s="63"/>
      <c r="AC676" s="31"/>
      <c r="AN676" s="32"/>
      <c r="AO676" s="98"/>
    </row>
    <row r="677" spans="6:41">
      <c r="F677" s="31"/>
      <c r="M677" s="31"/>
      <c r="U677" s="31"/>
      <c r="W677" s="63"/>
      <c r="AA677" s="63"/>
      <c r="AC677" s="31"/>
      <c r="AN677" s="32"/>
      <c r="AO677" s="98"/>
    </row>
    <row r="678" spans="6:41">
      <c r="F678" s="31"/>
      <c r="M678" s="31"/>
      <c r="U678" s="31"/>
      <c r="W678" s="63"/>
      <c r="AA678" s="63"/>
      <c r="AC678" s="31"/>
      <c r="AN678" s="32"/>
      <c r="AO678" s="98"/>
    </row>
    <row r="679" spans="6:41">
      <c r="F679" s="31"/>
      <c r="M679" s="31"/>
      <c r="U679" s="31"/>
      <c r="W679" s="63"/>
      <c r="AA679" s="63"/>
      <c r="AC679" s="31"/>
      <c r="AN679" s="32"/>
      <c r="AO679" s="98"/>
    </row>
    <row r="680" spans="6:41">
      <c r="F680" s="31"/>
      <c r="M680" s="31"/>
      <c r="U680" s="31"/>
      <c r="W680" s="63"/>
      <c r="AA680" s="63"/>
      <c r="AC680" s="31"/>
      <c r="AN680" s="32"/>
      <c r="AO680" s="98"/>
    </row>
    <row r="681" spans="6:41">
      <c r="F681" s="31"/>
      <c r="M681" s="31"/>
      <c r="U681" s="31"/>
      <c r="W681" s="63"/>
      <c r="AA681" s="63"/>
      <c r="AC681" s="31"/>
      <c r="AN681" s="32"/>
      <c r="AO681" s="98"/>
    </row>
    <row r="682" spans="6:41">
      <c r="F682" s="31"/>
      <c r="M682" s="31"/>
      <c r="U682" s="31"/>
      <c r="W682" s="63"/>
      <c r="AA682" s="63"/>
      <c r="AC682" s="31"/>
      <c r="AN682" s="32"/>
      <c r="AO682" s="98"/>
    </row>
    <row r="683" spans="6:41">
      <c r="F683" s="31"/>
      <c r="M683" s="31"/>
      <c r="U683" s="31"/>
      <c r="W683" s="63"/>
      <c r="AA683" s="63"/>
      <c r="AC683" s="31"/>
      <c r="AN683" s="32"/>
      <c r="AO683" s="98"/>
    </row>
    <row r="684" spans="6:41">
      <c r="F684" s="31"/>
      <c r="M684" s="31"/>
      <c r="U684" s="31"/>
      <c r="W684" s="63"/>
      <c r="AA684" s="63"/>
      <c r="AC684" s="31"/>
      <c r="AN684" s="32"/>
      <c r="AO684" s="98"/>
    </row>
    <row r="685" spans="6:41">
      <c r="F685" s="31"/>
      <c r="M685" s="31"/>
      <c r="U685" s="31"/>
      <c r="W685" s="63"/>
      <c r="AA685" s="63"/>
      <c r="AC685" s="31"/>
      <c r="AN685" s="32"/>
      <c r="AO685" s="98"/>
    </row>
    <row r="686" spans="6:41">
      <c r="F686" s="31"/>
      <c r="M686" s="31"/>
      <c r="U686" s="31"/>
      <c r="W686" s="63"/>
      <c r="AA686" s="63"/>
      <c r="AC686" s="31"/>
      <c r="AN686" s="32"/>
      <c r="AO686" s="98"/>
    </row>
    <row r="687" spans="6:41">
      <c r="F687" s="31"/>
      <c r="M687" s="31"/>
      <c r="U687" s="31"/>
      <c r="W687" s="63"/>
      <c r="AA687" s="63"/>
      <c r="AC687" s="31"/>
      <c r="AN687" s="32"/>
      <c r="AO687" s="98"/>
    </row>
    <row r="688" spans="6:41">
      <c r="F688" s="31"/>
      <c r="M688" s="31"/>
      <c r="U688" s="31"/>
      <c r="W688" s="63"/>
      <c r="AA688" s="63"/>
      <c r="AC688" s="31"/>
      <c r="AN688" s="32"/>
      <c r="AO688" s="98"/>
    </row>
    <row r="689" spans="6:41">
      <c r="F689" s="31"/>
      <c r="M689" s="31"/>
      <c r="U689" s="31"/>
      <c r="W689" s="63"/>
      <c r="AA689" s="63"/>
      <c r="AC689" s="31"/>
      <c r="AN689" s="32"/>
      <c r="AO689" s="98"/>
    </row>
    <row r="690" spans="6:41">
      <c r="F690" s="31"/>
      <c r="M690" s="31"/>
      <c r="U690" s="31"/>
      <c r="W690" s="63"/>
      <c r="AA690" s="63"/>
      <c r="AC690" s="31"/>
      <c r="AN690" s="32"/>
      <c r="AO690" s="98"/>
    </row>
    <row r="691" spans="6:41">
      <c r="F691" s="31"/>
      <c r="M691" s="31"/>
      <c r="U691" s="31"/>
      <c r="W691" s="63"/>
      <c r="AA691" s="63"/>
      <c r="AC691" s="31"/>
      <c r="AN691" s="32"/>
      <c r="AO691" s="98"/>
    </row>
    <row r="692" spans="6:41">
      <c r="F692" s="31"/>
      <c r="M692" s="31"/>
      <c r="U692" s="31"/>
      <c r="W692" s="63"/>
      <c r="AA692" s="63"/>
      <c r="AC692" s="31"/>
      <c r="AN692" s="32"/>
      <c r="AO692" s="98"/>
    </row>
    <row r="693" spans="6:41">
      <c r="F693" s="31"/>
      <c r="M693" s="31"/>
      <c r="U693" s="31"/>
      <c r="W693" s="63"/>
      <c r="AA693" s="63"/>
      <c r="AC693" s="31"/>
      <c r="AN693" s="32"/>
      <c r="AO693" s="98"/>
    </row>
    <row r="694" spans="6:41">
      <c r="F694" s="31"/>
      <c r="M694" s="31"/>
      <c r="U694" s="31"/>
      <c r="W694" s="63"/>
      <c r="AA694" s="63"/>
      <c r="AC694" s="31"/>
      <c r="AN694" s="32"/>
      <c r="AO694" s="98"/>
    </row>
    <row r="695" spans="6:41">
      <c r="F695" s="31"/>
      <c r="M695" s="31"/>
      <c r="U695" s="31"/>
      <c r="W695" s="63"/>
      <c r="AA695" s="63"/>
      <c r="AC695" s="31"/>
      <c r="AN695" s="32"/>
      <c r="AO695" s="98"/>
    </row>
    <row r="696" spans="6:41">
      <c r="F696" s="31"/>
      <c r="M696" s="31"/>
      <c r="U696" s="31"/>
      <c r="W696" s="63"/>
      <c r="AA696" s="63"/>
      <c r="AC696" s="31"/>
      <c r="AN696" s="32"/>
      <c r="AO696" s="98"/>
    </row>
    <row r="697" spans="6:41">
      <c r="F697" s="31"/>
      <c r="M697" s="31"/>
      <c r="U697" s="31"/>
      <c r="W697" s="63"/>
      <c r="AA697" s="63"/>
      <c r="AC697" s="31"/>
      <c r="AN697" s="32"/>
      <c r="AO697" s="98"/>
    </row>
    <row r="698" spans="6:41">
      <c r="F698" s="31"/>
      <c r="M698" s="31"/>
      <c r="U698" s="31"/>
      <c r="W698" s="63"/>
      <c r="AA698" s="63"/>
      <c r="AC698" s="31"/>
      <c r="AN698" s="32"/>
      <c r="AO698" s="98"/>
    </row>
    <row r="699" spans="6:41">
      <c r="F699" s="31"/>
      <c r="M699" s="31"/>
      <c r="U699" s="31"/>
      <c r="W699" s="63"/>
      <c r="AA699" s="63"/>
      <c r="AC699" s="31"/>
      <c r="AN699" s="32"/>
      <c r="AO699" s="98"/>
    </row>
    <row r="700" spans="6:41">
      <c r="F700" s="31"/>
      <c r="M700" s="31"/>
      <c r="U700" s="31"/>
      <c r="W700" s="63"/>
      <c r="AA700" s="63"/>
      <c r="AC700" s="31"/>
      <c r="AN700" s="32"/>
      <c r="AO700" s="98"/>
    </row>
    <row r="701" spans="6:41">
      <c r="F701" s="31"/>
      <c r="M701" s="31"/>
      <c r="U701" s="31"/>
      <c r="W701" s="63"/>
      <c r="AA701" s="63"/>
      <c r="AC701" s="31"/>
      <c r="AN701" s="32"/>
      <c r="AO701" s="98"/>
    </row>
    <row r="702" spans="6:41">
      <c r="F702" s="31"/>
      <c r="M702" s="31"/>
      <c r="U702" s="31"/>
      <c r="W702" s="63"/>
      <c r="AA702" s="63"/>
      <c r="AC702" s="31"/>
      <c r="AN702" s="32"/>
      <c r="AO702" s="98"/>
    </row>
    <row r="703" spans="6:41">
      <c r="F703" s="31"/>
      <c r="M703" s="31"/>
      <c r="U703" s="31"/>
      <c r="W703" s="63"/>
      <c r="AA703" s="63"/>
      <c r="AC703" s="31"/>
      <c r="AN703" s="32"/>
      <c r="AO703" s="98"/>
    </row>
    <row r="704" spans="6:41">
      <c r="F704" s="31"/>
      <c r="M704" s="31"/>
      <c r="U704" s="31"/>
      <c r="W704" s="63"/>
      <c r="AA704" s="63"/>
      <c r="AC704" s="31"/>
      <c r="AN704" s="32"/>
      <c r="AO704" s="98"/>
    </row>
    <row r="705" spans="6:41">
      <c r="F705" s="31"/>
      <c r="M705" s="31"/>
      <c r="U705" s="31"/>
      <c r="W705" s="63"/>
      <c r="AA705" s="63"/>
      <c r="AC705" s="31"/>
      <c r="AN705" s="32"/>
      <c r="AO705" s="98"/>
    </row>
    <row r="706" spans="6:41">
      <c r="F706" s="31"/>
      <c r="M706" s="31"/>
      <c r="U706" s="31"/>
      <c r="W706" s="63"/>
      <c r="AA706" s="63"/>
      <c r="AC706" s="31"/>
      <c r="AN706" s="32"/>
      <c r="AO706" s="98"/>
    </row>
    <row r="707" spans="6:41">
      <c r="F707" s="31"/>
      <c r="M707" s="31"/>
      <c r="U707" s="31"/>
      <c r="W707" s="63"/>
      <c r="AA707" s="63"/>
      <c r="AC707" s="31"/>
      <c r="AN707" s="32"/>
      <c r="AO707" s="98"/>
    </row>
    <row r="708" spans="6:41">
      <c r="F708" s="31"/>
      <c r="M708" s="31"/>
      <c r="U708" s="31"/>
      <c r="W708" s="63"/>
      <c r="AA708" s="63"/>
      <c r="AC708" s="31"/>
      <c r="AN708" s="32"/>
      <c r="AO708" s="98"/>
    </row>
    <row r="709" spans="6:41">
      <c r="F709" s="31"/>
      <c r="M709" s="31"/>
      <c r="U709" s="31"/>
      <c r="W709" s="63"/>
      <c r="AA709" s="63"/>
      <c r="AC709" s="31"/>
      <c r="AN709" s="32"/>
      <c r="AO709" s="98"/>
    </row>
    <row r="710" spans="6:41">
      <c r="F710" s="31"/>
      <c r="M710" s="31"/>
      <c r="U710" s="31"/>
      <c r="W710" s="63"/>
      <c r="AA710" s="63"/>
      <c r="AC710" s="31"/>
      <c r="AN710" s="32"/>
      <c r="AO710" s="98"/>
    </row>
    <row r="711" spans="6:41">
      <c r="F711" s="31"/>
      <c r="M711" s="31"/>
      <c r="U711" s="31"/>
      <c r="W711" s="63"/>
      <c r="AA711" s="63"/>
      <c r="AC711" s="31"/>
      <c r="AN711" s="32"/>
      <c r="AO711" s="98"/>
    </row>
    <row r="712" spans="6:41">
      <c r="F712" s="31"/>
      <c r="M712" s="31"/>
      <c r="U712" s="31"/>
      <c r="W712" s="63"/>
      <c r="AA712" s="63"/>
      <c r="AC712" s="31"/>
      <c r="AN712" s="32"/>
      <c r="AO712" s="98"/>
    </row>
    <row r="713" spans="6:41">
      <c r="F713" s="31"/>
      <c r="M713" s="31"/>
      <c r="U713" s="31"/>
      <c r="W713" s="63"/>
      <c r="AA713" s="63"/>
      <c r="AC713" s="31"/>
      <c r="AN713" s="32"/>
      <c r="AO713" s="98"/>
    </row>
    <row r="714" spans="6:41">
      <c r="F714" s="31"/>
      <c r="M714" s="31"/>
      <c r="U714" s="31"/>
      <c r="W714" s="63"/>
      <c r="AA714" s="63"/>
      <c r="AC714" s="31"/>
      <c r="AN714" s="32"/>
      <c r="AO714" s="98"/>
    </row>
    <row r="715" spans="6:41">
      <c r="F715" s="31"/>
      <c r="M715" s="31"/>
      <c r="U715" s="31"/>
      <c r="W715" s="63"/>
      <c r="AA715" s="63"/>
      <c r="AC715" s="31"/>
      <c r="AN715" s="32"/>
      <c r="AO715" s="98"/>
    </row>
    <row r="716" spans="6:41">
      <c r="F716" s="31"/>
      <c r="M716" s="31"/>
      <c r="U716" s="31"/>
      <c r="W716" s="63"/>
      <c r="AA716" s="63"/>
      <c r="AC716" s="31"/>
      <c r="AN716" s="32"/>
      <c r="AO716" s="98"/>
    </row>
    <row r="717" spans="6:41">
      <c r="F717" s="31"/>
      <c r="M717" s="31"/>
      <c r="U717" s="31"/>
      <c r="W717" s="63"/>
      <c r="AA717" s="63"/>
      <c r="AC717" s="31"/>
      <c r="AN717" s="32"/>
      <c r="AO717" s="98"/>
    </row>
    <row r="718" spans="6:41">
      <c r="F718" s="31"/>
      <c r="M718" s="31"/>
      <c r="U718" s="31"/>
      <c r="W718" s="63"/>
      <c r="AA718" s="63"/>
      <c r="AC718" s="31"/>
      <c r="AN718" s="32"/>
      <c r="AO718" s="98"/>
    </row>
    <row r="719" spans="6:41">
      <c r="F719" s="31"/>
      <c r="M719" s="31"/>
      <c r="U719" s="31"/>
      <c r="W719" s="63"/>
      <c r="AA719" s="63"/>
      <c r="AC719" s="31"/>
      <c r="AN719" s="32"/>
      <c r="AO719" s="98"/>
    </row>
    <row r="720" spans="6:41">
      <c r="F720" s="31"/>
      <c r="M720" s="31"/>
      <c r="U720" s="31"/>
      <c r="W720" s="63"/>
      <c r="AA720" s="63"/>
      <c r="AC720" s="31"/>
      <c r="AN720" s="32"/>
      <c r="AO720" s="98"/>
    </row>
    <row r="721" spans="6:41">
      <c r="F721" s="31"/>
      <c r="M721" s="31"/>
      <c r="U721" s="31"/>
      <c r="W721" s="63"/>
      <c r="AA721" s="63"/>
      <c r="AC721" s="31"/>
      <c r="AN721" s="32"/>
      <c r="AO721" s="98"/>
    </row>
    <row r="722" spans="6:41">
      <c r="F722" s="31"/>
      <c r="M722" s="31"/>
      <c r="U722" s="31"/>
      <c r="W722" s="63"/>
      <c r="AA722" s="63"/>
      <c r="AC722" s="31"/>
      <c r="AN722" s="32"/>
      <c r="AO722" s="98"/>
    </row>
    <row r="723" spans="6:41">
      <c r="F723" s="31"/>
      <c r="M723" s="31"/>
      <c r="U723" s="31"/>
      <c r="W723" s="63"/>
      <c r="AA723" s="63"/>
      <c r="AC723" s="31"/>
      <c r="AN723" s="32"/>
      <c r="AO723" s="98"/>
    </row>
    <row r="724" spans="6:41">
      <c r="F724" s="31"/>
      <c r="M724" s="31"/>
      <c r="U724" s="31"/>
      <c r="W724" s="63"/>
      <c r="AA724" s="63"/>
      <c r="AC724" s="31"/>
      <c r="AN724" s="32"/>
      <c r="AO724" s="98"/>
    </row>
    <row r="725" spans="6:41">
      <c r="F725" s="31"/>
      <c r="M725" s="31"/>
      <c r="U725" s="31"/>
      <c r="W725" s="63"/>
      <c r="AA725" s="63"/>
      <c r="AC725" s="31"/>
      <c r="AN725" s="32"/>
      <c r="AO725" s="98"/>
    </row>
    <row r="726" spans="6:41">
      <c r="F726" s="31"/>
      <c r="M726" s="31"/>
      <c r="U726" s="31"/>
      <c r="W726" s="63"/>
      <c r="AA726" s="63"/>
      <c r="AC726" s="31"/>
      <c r="AN726" s="32"/>
      <c r="AO726" s="98"/>
    </row>
    <row r="727" spans="6:41">
      <c r="F727" s="31"/>
      <c r="M727" s="31"/>
      <c r="U727" s="31"/>
      <c r="W727" s="63"/>
      <c r="AA727" s="63"/>
      <c r="AC727" s="31"/>
      <c r="AN727" s="32"/>
      <c r="AO727" s="98"/>
    </row>
    <row r="728" spans="6:41">
      <c r="F728" s="31"/>
      <c r="M728" s="31"/>
      <c r="U728" s="31"/>
      <c r="W728" s="63"/>
      <c r="AA728" s="63"/>
      <c r="AC728" s="31"/>
      <c r="AN728" s="32"/>
      <c r="AO728" s="98"/>
    </row>
    <row r="729" spans="6:41">
      <c r="F729" s="31"/>
      <c r="M729" s="31"/>
      <c r="U729" s="31"/>
      <c r="W729" s="63"/>
      <c r="AA729" s="63"/>
      <c r="AC729" s="31"/>
      <c r="AN729" s="32"/>
      <c r="AO729" s="98"/>
    </row>
    <row r="730" spans="6:41">
      <c r="F730" s="31"/>
      <c r="M730" s="31"/>
      <c r="U730" s="31"/>
      <c r="W730" s="63"/>
      <c r="AA730" s="63"/>
      <c r="AC730" s="31"/>
      <c r="AN730" s="32"/>
      <c r="AO730" s="98"/>
    </row>
    <row r="731" spans="6:41">
      <c r="F731" s="31"/>
      <c r="M731" s="31"/>
      <c r="U731" s="31"/>
      <c r="W731" s="63"/>
      <c r="AA731" s="63"/>
      <c r="AC731" s="31"/>
      <c r="AN731" s="32"/>
      <c r="AO731" s="98"/>
    </row>
    <row r="732" spans="6:41">
      <c r="F732" s="31"/>
      <c r="M732" s="31"/>
      <c r="U732" s="31"/>
      <c r="W732" s="63"/>
      <c r="AA732" s="63"/>
      <c r="AC732" s="31"/>
      <c r="AN732" s="32"/>
      <c r="AO732" s="98"/>
    </row>
    <row r="733" spans="6:41">
      <c r="F733" s="31"/>
      <c r="M733" s="31"/>
      <c r="U733" s="31"/>
      <c r="W733" s="63"/>
      <c r="AA733" s="63"/>
      <c r="AC733" s="31"/>
      <c r="AN733" s="32"/>
      <c r="AO733" s="98"/>
    </row>
    <row r="734" spans="6:41">
      <c r="F734" s="31"/>
      <c r="M734" s="31"/>
      <c r="U734" s="31"/>
      <c r="W734" s="63"/>
      <c r="AA734" s="63"/>
      <c r="AC734" s="31"/>
      <c r="AN734" s="32"/>
      <c r="AO734" s="98"/>
    </row>
    <row r="735" spans="6:41">
      <c r="F735" s="31"/>
      <c r="M735" s="31"/>
      <c r="U735" s="31"/>
      <c r="W735" s="63"/>
      <c r="AA735" s="63"/>
      <c r="AC735" s="31"/>
      <c r="AN735" s="32"/>
      <c r="AO735" s="98"/>
    </row>
    <row r="736" spans="6:41">
      <c r="F736" s="31"/>
      <c r="M736" s="31"/>
      <c r="U736" s="31"/>
      <c r="W736" s="63"/>
      <c r="AA736" s="63"/>
      <c r="AC736" s="31"/>
      <c r="AN736" s="32"/>
      <c r="AO736" s="98"/>
    </row>
    <row r="737" spans="6:41">
      <c r="F737" s="31"/>
      <c r="M737" s="31"/>
      <c r="U737" s="31"/>
      <c r="W737" s="63"/>
      <c r="AA737" s="63"/>
      <c r="AC737" s="31"/>
      <c r="AN737" s="32"/>
      <c r="AO737" s="98"/>
    </row>
    <row r="738" spans="6:41">
      <c r="F738" s="31"/>
      <c r="M738" s="31"/>
      <c r="U738" s="31"/>
      <c r="W738" s="63"/>
      <c r="AA738" s="63"/>
      <c r="AC738" s="31"/>
      <c r="AN738" s="32"/>
      <c r="AO738" s="98"/>
    </row>
    <row r="739" spans="6:41">
      <c r="F739" s="31"/>
      <c r="M739" s="31"/>
      <c r="U739" s="31"/>
      <c r="W739" s="63"/>
      <c r="AA739" s="63"/>
      <c r="AC739" s="31"/>
      <c r="AN739" s="32"/>
      <c r="AO739" s="98"/>
    </row>
    <row r="740" spans="6:41">
      <c r="F740" s="31"/>
      <c r="M740" s="31"/>
      <c r="U740" s="31"/>
      <c r="W740" s="63"/>
      <c r="AA740" s="63"/>
      <c r="AC740" s="31"/>
      <c r="AN740" s="32"/>
      <c r="AO740" s="98"/>
    </row>
    <row r="741" spans="6:41">
      <c r="F741" s="31"/>
      <c r="M741" s="31"/>
      <c r="U741" s="31"/>
      <c r="W741" s="63"/>
      <c r="AA741" s="63"/>
      <c r="AC741" s="31"/>
      <c r="AN741" s="32"/>
      <c r="AO741" s="98"/>
    </row>
    <row r="742" spans="6:41">
      <c r="F742" s="31"/>
      <c r="M742" s="31"/>
      <c r="U742" s="31"/>
      <c r="W742" s="63"/>
      <c r="AA742" s="63"/>
      <c r="AC742" s="31"/>
      <c r="AN742" s="32"/>
      <c r="AO742" s="98"/>
    </row>
    <row r="743" spans="6:41">
      <c r="F743" s="31"/>
      <c r="M743" s="31"/>
      <c r="U743" s="31"/>
      <c r="W743" s="63"/>
      <c r="AA743" s="63"/>
      <c r="AC743" s="31"/>
      <c r="AN743" s="32"/>
      <c r="AO743" s="98"/>
    </row>
    <row r="744" spans="6:41">
      <c r="F744" s="31"/>
      <c r="M744" s="31"/>
      <c r="U744" s="31"/>
      <c r="W744" s="63"/>
      <c r="AA744" s="63"/>
      <c r="AC744" s="31"/>
      <c r="AN744" s="32"/>
      <c r="AO744" s="98"/>
    </row>
    <row r="745" spans="6:41">
      <c r="F745" s="31"/>
      <c r="M745" s="31"/>
      <c r="U745" s="31"/>
      <c r="W745" s="63"/>
      <c r="AA745" s="63"/>
      <c r="AC745" s="31"/>
      <c r="AN745" s="32"/>
      <c r="AO745" s="98"/>
    </row>
    <row r="746" spans="6:41">
      <c r="F746" s="31"/>
      <c r="M746" s="31"/>
      <c r="U746" s="31"/>
      <c r="W746" s="63"/>
      <c r="AA746" s="63"/>
      <c r="AC746" s="31"/>
      <c r="AN746" s="32"/>
      <c r="AO746" s="98"/>
    </row>
    <row r="747" spans="6:41">
      <c r="F747" s="31"/>
      <c r="M747" s="31"/>
      <c r="U747" s="31"/>
      <c r="W747" s="63"/>
      <c r="AA747" s="63"/>
      <c r="AC747" s="31"/>
      <c r="AN747" s="32"/>
      <c r="AO747" s="98"/>
    </row>
    <row r="748" spans="6:41">
      <c r="F748" s="31"/>
      <c r="M748" s="31"/>
      <c r="U748" s="31"/>
      <c r="W748" s="63"/>
      <c r="AA748" s="63"/>
      <c r="AC748" s="31"/>
      <c r="AN748" s="32"/>
      <c r="AO748" s="98"/>
    </row>
    <row r="749" spans="6:41">
      <c r="F749" s="31"/>
      <c r="M749" s="31"/>
      <c r="U749" s="31"/>
      <c r="W749" s="63"/>
      <c r="AA749" s="63"/>
      <c r="AC749" s="31"/>
      <c r="AN749" s="32"/>
      <c r="AO749" s="98"/>
    </row>
    <row r="750" spans="6:41">
      <c r="F750" s="31"/>
      <c r="M750" s="31"/>
      <c r="U750" s="31"/>
      <c r="W750" s="63"/>
      <c r="AA750" s="63"/>
      <c r="AC750" s="31"/>
      <c r="AN750" s="32"/>
      <c r="AO750" s="98"/>
    </row>
    <row r="751" spans="6:41">
      <c r="F751" s="31"/>
      <c r="M751" s="31"/>
      <c r="U751" s="31"/>
      <c r="W751" s="63"/>
      <c r="AA751" s="63"/>
      <c r="AC751" s="31"/>
      <c r="AN751" s="32"/>
      <c r="AO751" s="98"/>
    </row>
    <row r="752" spans="6:41">
      <c r="F752" s="31"/>
      <c r="M752" s="31"/>
      <c r="U752" s="31"/>
      <c r="W752" s="63"/>
      <c r="AA752" s="63"/>
      <c r="AC752" s="31"/>
      <c r="AN752" s="32"/>
      <c r="AO752" s="98"/>
    </row>
    <row r="753" spans="6:41">
      <c r="F753" s="31"/>
      <c r="M753" s="31"/>
      <c r="U753" s="31"/>
      <c r="W753" s="63"/>
      <c r="AA753" s="63"/>
      <c r="AC753" s="31"/>
      <c r="AN753" s="32"/>
      <c r="AO753" s="98"/>
    </row>
    <row r="754" spans="6:41">
      <c r="F754" s="31"/>
      <c r="M754" s="31"/>
      <c r="U754" s="31"/>
      <c r="W754" s="63"/>
      <c r="AA754" s="63"/>
      <c r="AC754" s="31"/>
      <c r="AN754" s="32"/>
      <c r="AO754" s="98"/>
    </row>
    <row r="755" spans="6:41">
      <c r="F755" s="31"/>
      <c r="M755" s="31"/>
      <c r="U755" s="31"/>
      <c r="W755" s="63"/>
      <c r="AA755" s="63"/>
      <c r="AC755" s="31"/>
      <c r="AN755" s="32"/>
      <c r="AO755" s="98"/>
    </row>
    <row r="756" spans="6:41">
      <c r="F756" s="31"/>
      <c r="M756" s="31"/>
      <c r="U756" s="31"/>
      <c r="W756" s="63"/>
      <c r="AA756" s="63"/>
      <c r="AC756" s="31"/>
      <c r="AN756" s="32"/>
      <c r="AO756" s="98"/>
    </row>
    <row r="757" spans="6:41">
      <c r="F757" s="31"/>
      <c r="M757" s="31"/>
      <c r="U757" s="31"/>
      <c r="W757" s="63"/>
      <c r="AA757" s="63"/>
      <c r="AC757" s="31"/>
      <c r="AN757" s="32"/>
      <c r="AO757" s="98"/>
    </row>
    <row r="758" spans="6:41">
      <c r="F758" s="31"/>
      <c r="M758" s="31"/>
      <c r="U758" s="31"/>
      <c r="W758" s="63"/>
      <c r="AA758" s="63"/>
      <c r="AC758" s="31"/>
      <c r="AN758" s="32"/>
      <c r="AO758" s="98"/>
    </row>
    <row r="759" spans="6:41">
      <c r="F759" s="31"/>
      <c r="M759" s="31"/>
      <c r="U759" s="31"/>
      <c r="W759" s="63"/>
      <c r="AA759" s="63"/>
      <c r="AC759" s="31"/>
      <c r="AN759" s="32"/>
      <c r="AO759" s="98"/>
    </row>
    <row r="760" spans="6:41">
      <c r="F760" s="31"/>
      <c r="M760" s="31"/>
      <c r="U760" s="31"/>
      <c r="W760" s="63"/>
      <c r="AA760" s="63"/>
      <c r="AC760" s="31"/>
      <c r="AN760" s="32"/>
      <c r="AO760" s="98"/>
    </row>
    <row r="761" spans="6:41">
      <c r="F761" s="31"/>
      <c r="M761" s="31"/>
      <c r="U761" s="31"/>
      <c r="W761" s="63"/>
      <c r="AA761" s="63"/>
      <c r="AC761" s="31"/>
      <c r="AN761" s="32"/>
      <c r="AO761" s="98"/>
    </row>
    <row r="762" spans="6:41">
      <c r="F762" s="31"/>
      <c r="M762" s="31"/>
      <c r="U762" s="31"/>
      <c r="W762" s="63"/>
      <c r="AA762" s="63"/>
      <c r="AC762" s="31"/>
      <c r="AN762" s="32"/>
      <c r="AO762" s="98"/>
    </row>
    <row r="763" spans="6:41">
      <c r="F763" s="31"/>
      <c r="M763" s="31"/>
      <c r="U763" s="31"/>
      <c r="W763" s="63"/>
      <c r="AA763" s="63"/>
      <c r="AC763" s="31"/>
      <c r="AN763" s="32"/>
      <c r="AO763" s="98"/>
    </row>
    <row r="764" spans="6:41">
      <c r="F764" s="31"/>
      <c r="M764" s="31"/>
      <c r="U764" s="31"/>
      <c r="W764" s="63"/>
      <c r="AA764" s="63"/>
      <c r="AC764" s="31"/>
      <c r="AN764" s="32"/>
      <c r="AO764" s="98"/>
    </row>
    <row r="765" spans="6:41">
      <c r="F765" s="31"/>
      <c r="M765" s="31"/>
      <c r="U765" s="31"/>
      <c r="W765" s="63"/>
      <c r="AA765" s="63"/>
      <c r="AC765" s="31"/>
      <c r="AN765" s="32"/>
      <c r="AO765" s="98"/>
    </row>
    <row r="766" spans="6:41">
      <c r="F766" s="31"/>
      <c r="M766" s="31"/>
      <c r="U766" s="31"/>
      <c r="W766" s="63"/>
      <c r="AA766" s="63"/>
      <c r="AC766" s="31"/>
      <c r="AN766" s="32"/>
      <c r="AO766" s="98"/>
    </row>
    <row r="767" spans="6:41">
      <c r="F767" s="31"/>
      <c r="M767" s="31"/>
      <c r="U767" s="31"/>
      <c r="W767" s="63"/>
      <c r="AA767" s="63"/>
      <c r="AC767" s="31"/>
      <c r="AN767" s="32"/>
      <c r="AO767" s="98"/>
    </row>
    <row r="768" spans="6:41">
      <c r="F768" s="31"/>
      <c r="M768" s="31"/>
      <c r="U768" s="31"/>
      <c r="W768" s="63"/>
      <c r="AA768" s="63"/>
      <c r="AC768" s="31"/>
      <c r="AN768" s="32"/>
      <c r="AO768" s="98"/>
    </row>
    <row r="769" spans="6:41">
      <c r="F769" s="31"/>
      <c r="M769" s="31"/>
      <c r="U769" s="31"/>
      <c r="W769" s="63"/>
      <c r="AA769" s="63"/>
      <c r="AC769" s="31"/>
      <c r="AN769" s="32"/>
      <c r="AO769" s="98"/>
    </row>
    <row r="770" spans="6:41">
      <c r="F770" s="31"/>
      <c r="M770" s="31"/>
      <c r="U770" s="31"/>
      <c r="W770" s="63"/>
      <c r="AA770" s="63"/>
      <c r="AC770" s="31"/>
      <c r="AN770" s="32"/>
      <c r="AO770" s="98"/>
    </row>
    <row r="771" spans="6:41">
      <c r="F771" s="31"/>
      <c r="M771" s="31"/>
      <c r="U771" s="31"/>
      <c r="W771" s="63"/>
      <c r="AA771" s="63"/>
      <c r="AC771" s="31"/>
      <c r="AN771" s="32"/>
      <c r="AO771" s="98"/>
    </row>
    <row r="772" spans="6:41">
      <c r="F772" s="31"/>
      <c r="M772" s="31"/>
      <c r="U772" s="31"/>
      <c r="W772" s="63"/>
      <c r="AA772" s="63"/>
      <c r="AC772" s="31"/>
      <c r="AN772" s="32"/>
      <c r="AO772" s="98"/>
    </row>
    <row r="773" spans="6:41">
      <c r="F773" s="31"/>
      <c r="M773" s="31"/>
      <c r="U773" s="31"/>
      <c r="W773" s="63"/>
      <c r="AA773" s="63"/>
      <c r="AC773" s="31"/>
      <c r="AN773" s="32"/>
      <c r="AO773" s="98"/>
    </row>
    <row r="774" spans="6:41">
      <c r="F774" s="31"/>
      <c r="M774" s="31"/>
      <c r="U774" s="31"/>
      <c r="W774" s="63"/>
      <c r="AA774" s="63"/>
      <c r="AC774" s="31"/>
      <c r="AN774" s="32"/>
      <c r="AO774" s="98"/>
    </row>
    <row r="775" spans="6:41">
      <c r="F775" s="31"/>
      <c r="M775" s="31"/>
      <c r="U775" s="31"/>
      <c r="W775" s="63"/>
      <c r="AA775" s="63"/>
      <c r="AC775" s="31"/>
      <c r="AN775" s="32"/>
      <c r="AO775" s="98"/>
    </row>
    <row r="776" spans="6:41">
      <c r="F776" s="31"/>
      <c r="M776" s="31"/>
      <c r="U776" s="31"/>
      <c r="W776" s="63"/>
      <c r="AA776" s="63"/>
      <c r="AC776" s="31"/>
      <c r="AN776" s="32"/>
      <c r="AO776" s="98"/>
    </row>
    <row r="777" spans="6:41">
      <c r="F777" s="31"/>
      <c r="M777" s="31"/>
      <c r="U777" s="31"/>
      <c r="W777" s="63"/>
      <c r="AA777" s="63"/>
      <c r="AC777" s="31"/>
      <c r="AN777" s="32"/>
      <c r="AO777" s="98"/>
    </row>
    <row r="778" spans="6:41">
      <c r="F778" s="31"/>
      <c r="M778" s="31"/>
      <c r="U778" s="31"/>
      <c r="W778" s="63"/>
      <c r="AA778" s="63"/>
      <c r="AC778" s="31"/>
      <c r="AN778" s="32"/>
      <c r="AO778" s="98"/>
    </row>
    <row r="779" spans="6:41">
      <c r="F779" s="31"/>
      <c r="M779" s="31"/>
      <c r="U779" s="31"/>
      <c r="W779" s="63"/>
      <c r="AA779" s="63"/>
      <c r="AC779" s="31"/>
      <c r="AN779" s="32"/>
      <c r="AO779" s="98"/>
    </row>
    <row r="780" spans="6:41">
      <c r="F780" s="31"/>
      <c r="M780" s="31"/>
      <c r="U780" s="31"/>
      <c r="W780" s="63"/>
      <c r="AA780" s="63"/>
      <c r="AC780" s="31"/>
      <c r="AN780" s="32"/>
      <c r="AO780" s="98"/>
    </row>
    <row r="781" spans="6:41">
      <c r="F781" s="31"/>
      <c r="M781" s="31"/>
      <c r="U781" s="31"/>
      <c r="W781" s="63"/>
      <c r="AA781" s="63"/>
      <c r="AC781" s="31"/>
      <c r="AN781" s="32"/>
      <c r="AO781" s="98"/>
    </row>
    <row r="782" spans="6:41">
      <c r="F782" s="31"/>
      <c r="M782" s="31"/>
      <c r="U782" s="31"/>
      <c r="W782" s="63"/>
      <c r="AA782" s="63"/>
      <c r="AC782" s="31"/>
      <c r="AN782" s="32"/>
      <c r="AO782" s="98"/>
    </row>
    <row r="783" spans="6:41">
      <c r="F783" s="31"/>
      <c r="M783" s="31"/>
      <c r="U783" s="31"/>
      <c r="W783" s="63"/>
      <c r="AA783" s="63"/>
      <c r="AC783" s="31"/>
      <c r="AN783" s="32"/>
      <c r="AO783" s="98"/>
    </row>
    <row r="784" spans="6:41">
      <c r="F784" s="31"/>
      <c r="M784" s="31"/>
      <c r="U784" s="31"/>
      <c r="W784" s="63"/>
      <c r="AA784" s="63"/>
      <c r="AC784" s="31"/>
      <c r="AN784" s="32"/>
      <c r="AO784" s="98"/>
    </row>
    <row r="785" spans="6:41">
      <c r="F785" s="31"/>
      <c r="M785" s="31"/>
      <c r="U785" s="31"/>
      <c r="W785" s="63"/>
      <c r="AA785" s="63"/>
      <c r="AC785" s="31"/>
      <c r="AN785" s="32"/>
      <c r="AO785" s="98"/>
    </row>
    <row r="786" spans="6:41">
      <c r="F786" s="31"/>
      <c r="M786" s="31"/>
      <c r="U786" s="31"/>
      <c r="W786" s="63"/>
      <c r="AA786" s="63"/>
      <c r="AC786" s="31"/>
      <c r="AN786" s="32"/>
      <c r="AO786" s="98"/>
    </row>
    <row r="787" spans="6:41">
      <c r="F787" s="31"/>
      <c r="M787" s="31"/>
      <c r="U787" s="31"/>
      <c r="W787" s="63"/>
      <c r="AA787" s="63"/>
      <c r="AC787" s="31"/>
      <c r="AN787" s="32"/>
      <c r="AO787" s="98"/>
    </row>
    <row r="788" spans="6:41">
      <c r="F788" s="31"/>
      <c r="M788" s="31"/>
      <c r="U788" s="31"/>
      <c r="W788" s="63"/>
      <c r="AA788" s="63"/>
      <c r="AC788" s="31"/>
      <c r="AN788" s="32"/>
      <c r="AO788" s="98"/>
    </row>
    <row r="789" spans="6:41">
      <c r="F789" s="31"/>
      <c r="M789" s="31"/>
      <c r="U789" s="31"/>
      <c r="W789" s="63"/>
      <c r="AA789" s="63"/>
      <c r="AC789" s="31"/>
      <c r="AN789" s="32"/>
      <c r="AO789" s="98"/>
    </row>
    <row r="790" spans="6:41">
      <c r="F790" s="31"/>
      <c r="M790" s="31"/>
      <c r="U790" s="31"/>
      <c r="W790" s="63"/>
      <c r="AA790" s="63"/>
      <c r="AC790" s="31"/>
      <c r="AN790" s="32"/>
      <c r="AO790" s="98"/>
    </row>
    <row r="791" spans="6:41">
      <c r="F791" s="31"/>
      <c r="M791" s="31"/>
      <c r="U791" s="31"/>
      <c r="W791" s="63"/>
      <c r="AA791" s="63"/>
      <c r="AC791" s="31"/>
      <c r="AN791" s="32"/>
      <c r="AO791" s="98"/>
    </row>
    <row r="792" spans="6:41">
      <c r="F792" s="31"/>
      <c r="M792" s="31"/>
      <c r="U792" s="31"/>
      <c r="W792" s="63"/>
      <c r="AA792" s="63"/>
      <c r="AC792" s="31"/>
      <c r="AN792" s="32"/>
      <c r="AO792" s="98"/>
    </row>
    <row r="793" spans="6:41">
      <c r="F793" s="31"/>
      <c r="M793" s="31"/>
      <c r="U793" s="31"/>
      <c r="W793" s="63"/>
      <c r="AA793" s="63"/>
      <c r="AC793" s="31"/>
      <c r="AN793" s="32"/>
      <c r="AO793" s="98"/>
    </row>
    <row r="794" spans="6:41">
      <c r="F794" s="31"/>
      <c r="M794" s="31"/>
      <c r="U794" s="31"/>
      <c r="W794" s="63"/>
      <c r="AA794" s="63"/>
      <c r="AC794" s="31"/>
      <c r="AN794" s="32"/>
      <c r="AO794" s="98"/>
    </row>
    <row r="795" spans="6:41">
      <c r="F795" s="31"/>
      <c r="M795" s="31"/>
      <c r="U795" s="31"/>
      <c r="W795" s="63"/>
      <c r="AA795" s="63"/>
      <c r="AC795" s="31"/>
      <c r="AN795" s="32"/>
      <c r="AO795" s="98"/>
    </row>
    <row r="796" spans="6:41">
      <c r="F796" s="31"/>
      <c r="M796" s="31"/>
      <c r="U796" s="31"/>
      <c r="W796" s="63"/>
      <c r="AA796" s="63"/>
      <c r="AC796" s="31"/>
      <c r="AN796" s="32"/>
      <c r="AO796" s="98"/>
    </row>
    <row r="797" spans="6:41">
      <c r="F797" s="31"/>
      <c r="M797" s="31"/>
      <c r="U797" s="31"/>
      <c r="W797" s="63"/>
      <c r="AA797" s="63"/>
      <c r="AC797" s="31"/>
      <c r="AN797" s="32"/>
      <c r="AO797" s="98"/>
    </row>
    <row r="798" spans="6:41">
      <c r="F798" s="31"/>
      <c r="M798" s="31"/>
      <c r="U798" s="31"/>
      <c r="W798" s="63"/>
      <c r="AA798" s="63"/>
      <c r="AC798" s="31"/>
      <c r="AN798" s="32"/>
      <c r="AO798" s="98"/>
    </row>
    <row r="799" spans="6:41">
      <c r="F799" s="31"/>
      <c r="M799" s="31"/>
      <c r="U799" s="31"/>
      <c r="W799" s="63"/>
      <c r="AA799" s="63"/>
      <c r="AC799" s="31"/>
      <c r="AN799" s="32"/>
      <c r="AO799" s="98"/>
    </row>
    <row r="800" spans="6:41">
      <c r="F800" s="31"/>
      <c r="M800" s="31"/>
      <c r="U800" s="31"/>
      <c r="W800" s="63"/>
      <c r="AA800" s="63"/>
      <c r="AC800" s="31"/>
      <c r="AN800" s="32"/>
      <c r="AO800" s="98"/>
    </row>
    <row r="801" spans="6:41">
      <c r="F801" s="31"/>
      <c r="M801" s="31"/>
      <c r="U801" s="31"/>
      <c r="W801" s="63"/>
      <c r="AA801" s="63"/>
      <c r="AC801" s="31"/>
      <c r="AN801" s="32"/>
      <c r="AO801" s="98"/>
    </row>
    <row r="802" spans="6:41">
      <c r="F802" s="31"/>
      <c r="M802" s="31"/>
      <c r="U802" s="31"/>
      <c r="W802" s="63"/>
      <c r="AA802" s="63"/>
      <c r="AC802" s="31"/>
      <c r="AN802" s="32"/>
      <c r="AO802" s="98"/>
    </row>
    <row r="803" spans="6:41">
      <c r="F803" s="31"/>
      <c r="M803" s="31"/>
      <c r="U803" s="31"/>
      <c r="W803" s="63"/>
      <c r="AA803" s="63"/>
      <c r="AC803" s="31"/>
      <c r="AN803" s="32"/>
      <c r="AO803" s="98"/>
    </row>
    <row r="804" spans="6:41">
      <c r="F804" s="31"/>
      <c r="M804" s="31"/>
      <c r="U804" s="31"/>
      <c r="W804" s="63"/>
      <c r="AA804" s="63"/>
      <c r="AC804" s="31"/>
      <c r="AN804" s="32"/>
      <c r="AO804" s="98"/>
    </row>
    <row r="805" spans="6:41">
      <c r="F805" s="31"/>
      <c r="M805" s="31"/>
      <c r="U805" s="31"/>
      <c r="W805" s="63"/>
      <c r="AA805" s="63"/>
      <c r="AC805" s="31"/>
      <c r="AN805" s="32"/>
      <c r="AO805" s="98"/>
    </row>
    <row r="806" spans="6:41">
      <c r="F806" s="31"/>
      <c r="M806" s="31"/>
      <c r="U806" s="31"/>
      <c r="W806" s="63"/>
      <c r="AA806" s="63"/>
      <c r="AC806" s="31"/>
      <c r="AN806" s="32"/>
      <c r="AO806" s="98"/>
    </row>
    <row r="807" spans="6:41">
      <c r="F807" s="31"/>
      <c r="M807" s="31"/>
      <c r="U807" s="31"/>
      <c r="W807" s="63"/>
      <c r="AA807" s="63"/>
      <c r="AC807" s="31"/>
      <c r="AN807" s="32"/>
      <c r="AO807" s="98"/>
    </row>
    <row r="808" spans="6:41">
      <c r="F808" s="31"/>
      <c r="M808" s="31"/>
      <c r="U808" s="31"/>
      <c r="W808" s="63"/>
      <c r="AA808" s="63"/>
      <c r="AC808" s="31"/>
      <c r="AN808" s="32"/>
      <c r="AO808" s="98"/>
    </row>
    <row r="809" spans="6:41">
      <c r="F809" s="31"/>
      <c r="M809" s="31"/>
      <c r="U809" s="31"/>
      <c r="W809" s="63"/>
      <c r="AA809" s="63"/>
      <c r="AC809" s="31"/>
      <c r="AN809" s="32"/>
      <c r="AO809" s="98"/>
    </row>
    <row r="810" spans="6:41">
      <c r="F810" s="31"/>
      <c r="M810" s="31"/>
      <c r="U810" s="31"/>
      <c r="W810" s="63"/>
      <c r="AA810" s="63"/>
      <c r="AC810" s="31"/>
      <c r="AN810" s="32"/>
      <c r="AO810" s="98"/>
    </row>
    <row r="811" spans="6:41">
      <c r="F811" s="31"/>
      <c r="M811" s="31"/>
      <c r="U811" s="31"/>
      <c r="W811" s="63"/>
      <c r="AA811" s="63"/>
      <c r="AC811" s="31"/>
      <c r="AN811" s="32"/>
      <c r="AO811" s="98"/>
    </row>
    <row r="812" spans="6:41">
      <c r="F812" s="31"/>
      <c r="M812" s="31"/>
      <c r="U812" s="31"/>
      <c r="W812" s="63"/>
      <c r="AA812" s="63"/>
      <c r="AC812" s="31"/>
      <c r="AN812" s="32"/>
      <c r="AO812" s="98"/>
    </row>
    <row r="813" spans="6:41">
      <c r="F813" s="31"/>
      <c r="M813" s="31"/>
      <c r="U813" s="31"/>
      <c r="W813" s="63"/>
      <c r="AA813" s="63"/>
      <c r="AC813" s="31"/>
      <c r="AN813" s="32"/>
      <c r="AO813" s="98"/>
    </row>
    <row r="814" spans="6:41">
      <c r="F814" s="31"/>
      <c r="M814" s="31"/>
      <c r="U814" s="31"/>
      <c r="W814" s="63"/>
      <c r="AA814" s="63"/>
      <c r="AC814" s="31"/>
      <c r="AN814" s="32"/>
      <c r="AO814" s="98"/>
    </row>
    <row r="815" spans="6:41">
      <c r="F815" s="31"/>
      <c r="M815" s="31"/>
      <c r="U815" s="31"/>
      <c r="W815" s="63"/>
      <c r="AA815" s="63"/>
      <c r="AC815" s="31"/>
      <c r="AN815" s="32"/>
      <c r="AO815" s="98"/>
    </row>
    <row r="816" spans="6:41">
      <c r="F816" s="31"/>
      <c r="M816" s="31"/>
      <c r="U816" s="31"/>
      <c r="W816" s="63"/>
      <c r="AA816" s="63"/>
      <c r="AC816" s="31"/>
      <c r="AN816" s="32"/>
      <c r="AO816" s="98"/>
    </row>
    <row r="817" spans="6:41">
      <c r="F817" s="31"/>
      <c r="M817" s="31"/>
      <c r="U817" s="31"/>
      <c r="W817" s="63"/>
      <c r="AA817" s="63"/>
      <c r="AC817" s="31"/>
      <c r="AN817" s="32"/>
      <c r="AO817" s="98"/>
    </row>
    <row r="818" spans="6:41">
      <c r="F818" s="31"/>
      <c r="M818" s="31"/>
      <c r="U818" s="31"/>
      <c r="W818" s="63"/>
      <c r="AA818" s="63"/>
      <c r="AC818" s="31"/>
      <c r="AN818" s="32"/>
      <c r="AO818" s="98"/>
    </row>
    <row r="819" spans="6:41">
      <c r="F819" s="31"/>
      <c r="M819" s="31"/>
      <c r="U819" s="31"/>
      <c r="W819" s="63"/>
      <c r="AA819" s="63"/>
      <c r="AC819" s="31"/>
      <c r="AN819" s="32"/>
      <c r="AO819" s="98"/>
    </row>
    <row r="820" spans="6:41">
      <c r="F820" s="31"/>
      <c r="M820" s="31"/>
      <c r="U820" s="31"/>
      <c r="W820" s="63"/>
      <c r="AA820" s="63"/>
      <c r="AC820" s="31"/>
      <c r="AN820" s="32"/>
      <c r="AO820" s="98"/>
    </row>
    <row r="821" spans="6:41">
      <c r="F821" s="31"/>
      <c r="M821" s="31"/>
      <c r="U821" s="31"/>
      <c r="W821" s="63"/>
      <c r="AA821" s="63"/>
      <c r="AC821" s="31"/>
      <c r="AN821" s="32"/>
      <c r="AO821" s="98"/>
    </row>
    <row r="822" spans="6:41">
      <c r="F822" s="31"/>
      <c r="M822" s="31"/>
      <c r="U822" s="31"/>
      <c r="W822" s="63"/>
      <c r="AA822" s="63"/>
      <c r="AC822" s="31"/>
      <c r="AN822" s="32"/>
      <c r="AO822" s="98"/>
    </row>
    <row r="823" spans="6:41">
      <c r="F823" s="31"/>
      <c r="M823" s="31"/>
      <c r="U823" s="31"/>
      <c r="W823" s="63"/>
      <c r="AA823" s="63"/>
      <c r="AC823" s="31"/>
      <c r="AN823" s="32"/>
      <c r="AO823" s="98"/>
    </row>
    <row r="824" spans="6:41">
      <c r="F824" s="31"/>
      <c r="M824" s="31"/>
      <c r="U824" s="31"/>
      <c r="W824" s="63"/>
      <c r="AA824" s="63"/>
      <c r="AC824" s="31"/>
      <c r="AN824" s="32"/>
      <c r="AO824" s="98"/>
    </row>
    <row r="825" spans="6:41">
      <c r="F825" s="31"/>
      <c r="M825" s="31"/>
      <c r="U825" s="31"/>
      <c r="W825" s="63"/>
      <c r="AA825" s="63"/>
      <c r="AC825" s="31"/>
      <c r="AN825" s="32"/>
      <c r="AO825" s="98"/>
    </row>
    <row r="826" spans="6:41">
      <c r="F826" s="31"/>
      <c r="M826" s="31"/>
      <c r="U826" s="31"/>
      <c r="W826" s="63"/>
      <c r="AA826" s="63"/>
      <c r="AC826" s="31"/>
      <c r="AN826" s="32"/>
      <c r="AO826" s="98"/>
    </row>
    <row r="827" spans="6:41">
      <c r="F827" s="31"/>
      <c r="M827" s="31"/>
      <c r="U827" s="31"/>
      <c r="W827" s="63"/>
      <c r="AA827" s="63"/>
      <c r="AC827" s="31"/>
      <c r="AN827" s="32"/>
      <c r="AO827" s="98"/>
    </row>
    <row r="828" spans="6:41">
      <c r="F828" s="31"/>
      <c r="M828" s="31"/>
      <c r="U828" s="31"/>
      <c r="W828" s="63"/>
      <c r="AA828" s="63"/>
      <c r="AC828" s="31"/>
      <c r="AN828" s="32"/>
      <c r="AO828" s="98"/>
    </row>
    <row r="829" spans="6:41">
      <c r="F829" s="31"/>
      <c r="M829" s="31"/>
      <c r="U829" s="31"/>
      <c r="W829" s="63"/>
      <c r="AA829" s="63"/>
      <c r="AC829" s="31"/>
      <c r="AN829" s="32"/>
      <c r="AO829" s="98"/>
    </row>
    <row r="830" spans="6:41">
      <c r="F830" s="31"/>
      <c r="M830" s="31"/>
      <c r="U830" s="31"/>
      <c r="W830" s="63"/>
      <c r="AA830" s="63"/>
      <c r="AC830" s="31"/>
      <c r="AN830" s="32"/>
      <c r="AO830" s="98"/>
    </row>
    <row r="831" spans="6:41">
      <c r="F831" s="31"/>
      <c r="M831" s="31"/>
      <c r="U831" s="31"/>
      <c r="W831" s="63"/>
      <c r="AA831" s="63"/>
      <c r="AC831" s="31"/>
      <c r="AN831" s="32"/>
      <c r="AO831" s="98"/>
    </row>
    <row r="832" spans="6:41">
      <c r="F832" s="31"/>
      <c r="M832" s="31"/>
      <c r="U832" s="31"/>
      <c r="W832" s="63"/>
      <c r="AA832" s="63"/>
      <c r="AC832" s="31"/>
      <c r="AN832" s="32"/>
      <c r="AO832" s="98"/>
    </row>
    <row r="833" spans="6:41">
      <c r="F833" s="31"/>
      <c r="M833" s="31"/>
      <c r="U833" s="31"/>
      <c r="W833" s="63"/>
      <c r="AA833" s="63"/>
      <c r="AC833" s="31"/>
      <c r="AN833" s="32"/>
      <c r="AO833" s="98"/>
    </row>
    <row r="834" spans="6:41">
      <c r="F834" s="31"/>
      <c r="M834" s="31"/>
      <c r="U834" s="31"/>
      <c r="W834" s="63"/>
      <c r="AA834" s="63"/>
      <c r="AC834" s="31"/>
      <c r="AN834" s="32"/>
      <c r="AO834" s="98"/>
    </row>
    <row r="835" spans="6:41">
      <c r="F835" s="31"/>
      <c r="M835" s="31"/>
      <c r="U835" s="31"/>
      <c r="W835" s="63"/>
      <c r="AA835" s="63"/>
      <c r="AC835" s="31"/>
      <c r="AN835" s="32"/>
      <c r="AO835" s="98"/>
    </row>
    <row r="836" spans="6:41">
      <c r="F836" s="31"/>
      <c r="M836" s="31"/>
      <c r="U836" s="31"/>
      <c r="W836" s="63"/>
      <c r="AA836" s="63"/>
      <c r="AC836" s="31"/>
      <c r="AN836" s="32"/>
      <c r="AO836" s="98"/>
    </row>
    <row r="837" spans="6:41">
      <c r="F837" s="31"/>
      <c r="M837" s="31"/>
      <c r="U837" s="31"/>
      <c r="W837" s="63"/>
      <c r="AA837" s="63"/>
      <c r="AC837" s="31"/>
      <c r="AN837" s="32"/>
      <c r="AO837" s="98"/>
    </row>
    <row r="838" spans="6:41">
      <c r="F838" s="31"/>
      <c r="M838" s="31"/>
      <c r="U838" s="31"/>
      <c r="W838" s="63"/>
      <c r="AA838" s="63"/>
      <c r="AC838" s="31"/>
      <c r="AN838" s="32"/>
      <c r="AO838" s="98"/>
    </row>
    <row r="839" spans="6:41">
      <c r="F839" s="31"/>
      <c r="M839" s="31"/>
      <c r="U839" s="31"/>
      <c r="W839" s="63"/>
      <c r="AA839" s="63"/>
      <c r="AC839" s="31"/>
      <c r="AN839" s="32"/>
      <c r="AO839" s="98"/>
    </row>
    <row r="840" spans="6:41">
      <c r="F840" s="31"/>
      <c r="M840" s="31"/>
      <c r="U840" s="31"/>
      <c r="W840" s="63"/>
      <c r="AA840" s="63"/>
      <c r="AC840" s="31"/>
      <c r="AN840" s="32"/>
      <c r="AO840" s="98"/>
    </row>
    <row r="841" spans="6:41">
      <c r="F841" s="31"/>
      <c r="M841" s="31"/>
      <c r="U841" s="31"/>
      <c r="W841" s="63"/>
      <c r="AA841" s="63"/>
      <c r="AC841" s="31"/>
      <c r="AN841" s="32"/>
      <c r="AO841" s="98"/>
    </row>
    <row r="842" spans="6:41">
      <c r="F842" s="31"/>
      <c r="M842" s="31"/>
      <c r="U842" s="31"/>
      <c r="W842" s="63"/>
      <c r="AA842" s="63"/>
      <c r="AC842" s="31"/>
      <c r="AN842" s="32"/>
      <c r="AO842" s="98"/>
    </row>
    <row r="843" spans="6:41">
      <c r="F843" s="31"/>
      <c r="M843" s="31"/>
      <c r="U843" s="31"/>
      <c r="W843" s="63"/>
      <c r="AA843" s="63"/>
      <c r="AC843" s="31"/>
      <c r="AN843" s="32"/>
      <c r="AO843" s="98"/>
    </row>
    <row r="844" spans="6:41">
      <c r="F844" s="31"/>
      <c r="M844" s="31"/>
      <c r="U844" s="31"/>
      <c r="W844" s="63"/>
      <c r="AA844" s="63"/>
      <c r="AC844" s="31"/>
      <c r="AN844" s="32"/>
      <c r="AO844" s="98"/>
    </row>
    <row r="845" spans="6:41">
      <c r="F845" s="31"/>
      <c r="M845" s="31"/>
      <c r="U845" s="31"/>
      <c r="W845" s="63"/>
      <c r="AA845" s="63"/>
      <c r="AC845" s="31"/>
      <c r="AN845" s="32"/>
      <c r="AO845" s="98"/>
    </row>
    <row r="846" spans="6:41">
      <c r="F846" s="31"/>
      <c r="M846" s="31"/>
      <c r="U846" s="31"/>
      <c r="W846" s="63"/>
      <c r="AA846" s="63"/>
      <c r="AC846" s="31"/>
      <c r="AN846" s="32"/>
      <c r="AO846" s="98"/>
    </row>
    <row r="847" spans="6:41">
      <c r="F847" s="31"/>
      <c r="M847" s="31"/>
      <c r="U847" s="31"/>
      <c r="W847" s="63"/>
      <c r="AA847" s="63"/>
      <c r="AC847" s="31"/>
      <c r="AN847" s="32"/>
      <c r="AO847" s="98"/>
    </row>
    <row r="848" spans="6:41">
      <c r="F848" s="31"/>
      <c r="M848" s="31"/>
      <c r="U848" s="31"/>
      <c r="W848" s="63"/>
      <c r="AA848" s="63"/>
      <c r="AC848" s="31"/>
      <c r="AN848" s="32"/>
      <c r="AO848" s="98"/>
    </row>
    <row r="849" spans="6:41">
      <c r="F849" s="31"/>
      <c r="M849" s="31"/>
      <c r="U849" s="31"/>
      <c r="W849" s="63"/>
      <c r="AA849" s="63"/>
      <c r="AC849" s="31"/>
      <c r="AN849" s="32"/>
      <c r="AO849" s="98"/>
    </row>
    <row r="850" spans="6:41">
      <c r="F850" s="31"/>
      <c r="M850" s="31"/>
      <c r="U850" s="31"/>
      <c r="W850" s="63"/>
      <c r="AA850" s="63"/>
      <c r="AC850" s="31"/>
      <c r="AN850" s="32"/>
      <c r="AO850" s="98"/>
    </row>
    <row r="851" spans="6:41">
      <c r="F851" s="31"/>
      <c r="M851" s="31"/>
      <c r="U851" s="31"/>
      <c r="W851" s="63"/>
      <c r="AA851" s="63"/>
      <c r="AC851" s="31"/>
      <c r="AN851" s="32"/>
      <c r="AO851" s="98"/>
    </row>
    <row r="852" spans="6:41">
      <c r="F852" s="31"/>
      <c r="M852" s="31"/>
      <c r="U852" s="31"/>
      <c r="W852" s="63"/>
      <c r="AA852" s="63"/>
      <c r="AC852" s="31"/>
      <c r="AN852" s="32"/>
      <c r="AO852" s="98"/>
    </row>
    <row r="853" spans="6:41">
      <c r="F853" s="31"/>
      <c r="M853" s="31"/>
      <c r="U853" s="31"/>
      <c r="W853" s="63"/>
      <c r="AA853" s="63"/>
      <c r="AC853" s="31"/>
      <c r="AN853" s="32"/>
      <c r="AO853" s="98"/>
    </row>
    <row r="854" spans="6:41">
      <c r="F854" s="31"/>
      <c r="M854" s="31"/>
      <c r="U854" s="31"/>
      <c r="W854" s="63"/>
      <c r="AA854" s="63"/>
      <c r="AC854" s="31"/>
      <c r="AN854" s="32"/>
      <c r="AO854" s="98"/>
    </row>
    <row r="855" spans="6:41">
      <c r="F855" s="31"/>
      <c r="M855" s="31"/>
      <c r="U855" s="31"/>
      <c r="W855" s="63"/>
      <c r="AA855" s="63"/>
      <c r="AC855" s="31"/>
      <c r="AN855" s="32"/>
      <c r="AO855" s="98"/>
    </row>
    <row r="856" spans="6:41">
      <c r="F856" s="31"/>
      <c r="M856" s="31"/>
      <c r="U856" s="31"/>
      <c r="W856" s="63"/>
      <c r="AA856" s="63"/>
      <c r="AC856" s="31"/>
      <c r="AN856" s="32"/>
      <c r="AO856" s="98"/>
    </row>
    <row r="857" spans="6:41">
      <c r="F857" s="31"/>
      <c r="M857" s="31"/>
      <c r="U857" s="31"/>
      <c r="W857" s="63"/>
      <c r="AA857" s="63"/>
      <c r="AC857" s="31"/>
      <c r="AN857" s="32"/>
      <c r="AO857" s="98"/>
    </row>
    <row r="858" spans="6:41">
      <c r="F858" s="31"/>
      <c r="M858" s="31"/>
      <c r="U858" s="31"/>
      <c r="W858" s="63"/>
      <c r="AA858" s="63"/>
      <c r="AC858" s="31"/>
      <c r="AN858" s="32"/>
      <c r="AO858" s="98"/>
    </row>
    <row r="859" spans="6:41">
      <c r="F859" s="31"/>
      <c r="M859" s="31"/>
      <c r="U859" s="31"/>
      <c r="W859" s="63"/>
      <c r="AA859" s="63"/>
      <c r="AC859" s="31"/>
      <c r="AN859" s="32"/>
      <c r="AO859" s="98"/>
    </row>
    <row r="860" spans="6:41">
      <c r="F860" s="31"/>
      <c r="M860" s="31"/>
      <c r="U860" s="31"/>
      <c r="W860" s="63"/>
      <c r="AA860" s="63"/>
      <c r="AC860" s="31"/>
      <c r="AN860" s="32"/>
      <c r="AO860" s="98"/>
    </row>
    <row r="861" spans="6:41">
      <c r="F861" s="31"/>
      <c r="M861" s="31"/>
      <c r="U861" s="31"/>
      <c r="W861" s="63"/>
      <c r="AA861" s="63"/>
      <c r="AC861" s="31"/>
      <c r="AN861" s="32"/>
      <c r="AO861" s="98"/>
    </row>
    <row r="862" spans="6:41">
      <c r="F862" s="31"/>
      <c r="M862" s="31"/>
      <c r="U862" s="31"/>
      <c r="W862" s="63"/>
      <c r="AA862" s="63"/>
      <c r="AC862" s="31"/>
      <c r="AN862" s="32"/>
      <c r="AO862" s="98"/>
    </row>
    <row r="863" spans="6:41">
      <c r="F863" s="31"/>
      <c r="M863" s="31"/>
      <c r="U863" s="31"/>
      <c r="W863" s="63"/>
      <c r="AA863" s="63"/>
      <c r="AC863" s="31"/>
      <c r="AN863" s="32"/>
      <c r="AO863" s="98"/>
    </row>
    <row r="864" spans="6:41">
      <c r="F864" s="31"/>
      <c r="M864" s="31"/>
      <c r="U864" s="31"/>
      <c r="W864" s="63"/>
      <c r="AA864" s="63"/>
      <c r="AC864" s="31"/>
      <c r="AN864" s="32"/>
      <c r="AO864" s="98"/>
    </row>
    <row r="865" spans="6:41">
      <c r="F865" s="31"/>
      <c r="M865" s="31"/>
      <c r="U865" s="31"/>
      <c r="W865" s="63"/>
      <c r="AA865" s="63"/>
      <c r="AC865" s="31"/>
      <c r="AN865" s="32"/>
      <c r="AO865" s="98"/>
    </row>
    <row r="866" spans="6:41">
      <c r="F866" s="31"/>
      <c r="M866" s="31"/>
      <c r="U866" s="31"/>
      <c r="W866" s="63"/>
      <c r="AA866" s="63"/>
      <c r="AC866" s="31"/>
      <c r="AN866" s="32"/>
      <c r="AO866" s="98"/>
    </row>
    <row r="867" spans="6:41">
      <c r="F867" s="31"/>
      <c r="M867" s="31"/>
      <c r="U867" s="31"/>
      <c r="W867" s="63"/>
      <c r="AA867" s="63"/>
      <c r="AC867" s="31"/>
      <c r="AN867" s="32"/>
      <c r="AO867" s="98"/>
    </row>
    <row r="868" spans="6:41">
      <c r="F868" s="31"/>
      <c r="M868" s="31"/>
      <c r="U868" s="31"/>
      <c r="W868" s="63"/>
      <c r="AA868" s="63"/>
      <c r="AC868" s="31"/>
      <c r="AN868" s="32"/>
      <c r="AO868" s="98"/>
    </row>
    <row r="869" spans="6:41">
      <c r="F869" s="31"/>
      <c r="M869" s="31"/>
      <c r="U869" s="31"/>
      <c r="W869" s="63"/>
      <c r="AA869" s="63"/>
      <c r="AC869" s="31"/>
      <c r="AN869" s="32"/>
      <c r="AO869" s="98"/>
    </row>
    <row r="870" spans="6:41">
      <c r="F870" s="31"/>
      <c r="M870" s="31"/>
      <c r="U870" s="31"/>
      <c r="W870" s="63"/>
      <c r="AA870" s="63"/>
      <c r="AC870" s="31"/>
      <c r="AN870" s="32"/>
      <c r="AO870" s="98"/>
    </row>
    <row r="871" spans="6:41">
      <c r="F871" s="31"/>
      <c r="M871" s="31"/>
      <c r="U871" s="31"/>
      <c r="W871" s="63"/>
      <c r="AA871" s="63"/>
      <c r="AC871" s="31"/>
      <c r="AN871" s="32"/>
      <c r="AO871" s="98"/>
    </row>
    <row r="872" spans="6:41">
      <c r="F872" s="31"/>
      <c r="M872" s="31"/>
      <c r="U872" s="31"/>
      <c r="W872" s="63"/>
      <c r="AA872" s="63"/>
      <c r="AC872" s="31"/>
      <c r="AN872" s="32"/>
      <c r="AO872" s="98"/>
    </row>
    <row r="873" spans="6:41">
      <c r="F873" s="31"/>
      <c r="M873" s="31"/>
      <c r="U873" s="31"/>
      <c r="W873" s="63"/>
      <c r="AA873" s="63"/>
      <c r="AC873" s="31"/>
      <c r="AN873" s="32"/>
      <c r="AO873" s="98"/>
    </row>
    <row r="874" spans="6:41">
      <c r="F874" s="31"/>
      <c r="M874" s="31"/>
      <c r="U874" s="31"/>
      <c r="W874" s="63"/>
      <c r="AA874" s="63"/>
      <c r="AC874" s="31"/>
      <c r="AN874" s="32"/>
      <c r="AO874" s="98"/>
    </row>
    <row r="875" spans="6:41">
      <c r="F875" s="31"/>
      <c r="M875" s="31"/>
      <c r="U875" s="31"/>
      <c r="W875" s="63"/>
      <c r="AA875" s="63"/>
      <c r="AC875" s="31"/>
      <c r="AN875" s="32"/>
      <c r="AO875" s="98"/>
    </row>
    <row r="876" spans="6:41">
      <c r="F876" s="31"/>
      <c r="M876" s="31"/>
      <c r="U876" s="31"/>
      <c r="W876" s="63"/>
      <c r="AA876" s="63"/>
      <c r="AC876" s="31"/>
      <c r="AN876" s="32"/>
      <c r="AO876" s="98"/>
    </row>
    <row r="877" spans="6:41">
      <c r="F877" s="31"/>
      <c r="M877" s="31"/>
      <c r="U877" s="31"/>
      <c r="W877" s="63"/>
      <c r="AA877" s="63"/>
      <c r="AC877" s="31"/>
      <c r="AN877" s="32"/>
      <c r="AO877" s="98"/>
    </row>
    <row r="878" spans="6:41">
      <c r="F878" s="31"/>
      <c r="M878" s="31"/>
      <c r="U878" s="31"/>
      <c r="W878" s="63"/>
      <c r="AA878" s="63"/>
      <c r="AC878" s="31"/>
      <c r="AN878" s="32"/>
      <c r="AO878" s="98"/>
    </row>
    <row r="879" spans="6:41">
      <c r="F879" s="31"/>
      <c r="M879" s="31"/>
      <c r="U879" s="31"/>
      <c r="W879" s="63"/>
      <c r="AA879" s="63"/>
      <c r="AC879" s="31"/>
      <c r="AN879" s="32"/>
      <c r="AO879" s="98"/>
    </row>
    <row r="880" spans="6:41">
      <c r="F880" s="31"/>
      <c r="M880" s="31"/>
      <c r="U880" s="31"/>
      <c r="W880" s="63"/>
      <c r="AA880" s="63"/>
      <c r="AC880" s="31"/>
      <c r="AN880" s="32"/>
      <c r="AO880" s="98"/>
    </row>
    <row r="881" spans="6:41">
      <c r="F881" s="31"/>
      <c r="M881" s="31"/>
      <c r="U881" s="31"/>
      <c r="W881" s="63"/>
      <c r="AA881" s="63"/>
      <c r="AC881" s="31"/>
      <c r="AN881" s="32"/>
      <c r="AO881" s="98"/>
    </row>
    <row r="882" spans="6:41">
      <c r="F882" s="31"/>
      <c r="M882" s="31"/>
      <c r="U882" s="31"/>
      <c r="W882" s="63"/>
      <c r="AA882" s="63"/>
      <c r="AC882" s="31"/>
      <c r="AN882" s="32"/>
      <c r="AO882" s="98"/>
    </row>
    <row r="883" spans="6:41">
      <c r="F883" s="31"/>
      <c r="M883" s="31"/>
      <c r="U883" s="31"/>
      <c r="W883" s="63"/>
      <c r="AA883" s="63"/>
      <c r="AC883" s="31"/>
      <c r="AN883" s="32"/>
      <c r="AO883" s="98"/>
    </row>
    <row r="884" spans="6:41">
      <c r="F884" s="31"/>
      <c r="M884" s="31"/>
      <c r="U884" s="31"/>
      <c r="W884" s="63"/>
      <c r="AA884" s="63"/>
      <c r="AC884" s="31"/>
      <c r="AN884" s="32"/>
      <c r="AO884" s="98"/>
    </row>
    <row r="885" spans="6:41">
      <c r="F885" s="31"/>
      <c r="M885" s="31"/>
      <c r="U885" s="31"/>
      <c r="W885" s="63"/>
      <c r="AA885" s="63"/>
      <c r="AC885" s="31"/>
      <c r="AN885" s="32"/>
      <c r="AO885" s="98"/>
    </row>
    <row r="886" spans="6:41">
      <c r="F886" s="31"/>
      <c r="M886" s="31"/>
      <c r="U886" s="31"/>
      <c r="W886" s="63"/>
      <c r="AA886" s="63"/>
      <c r="AC886" s="31"/>
      <c r="AN886" s="32"/>
      <c r="AO886" s="98"/>
    </row>
    <row r="887" spans="6:41">
      <c r="F887" s="31"/>
      <c r="M887" s="31"/>
      <c r="U887" s="31"/>
      <c r="W887" s="63"/>
      <c r="AA887" s="63"/>
      <c r="AC887" s="31"/>
      <c r="AN887" s="32"/>
      <c r="AO887" s="98"/>
    </row>
    <row r="888" spans="6:41">
      <c r="F888" s="31"/>
      <c r="M888" s="31"/>
      <c r="U888" s="31"/>
      <c r="W888" s="63"/>
      <c r="AA888" s="63"/>
      <c r="AC888" s="31"/>
      <c r="AN888" s="32"/>
      <c r="AO888" s="98"/>
    </row>
    <row r="889" spans="6:41">
      <c r="F889" s="31"/>
      <c r="M889" s="31"/>
      <c r="U889" s="31"/>
      <c r="W889" s="63"/>
      <c r="AA889" s="63"/>
      <c r="AC889" s="31"/>
      <c r="AN889" s="32"/>
      <c r="AO889" s="98"/>
    </row>
    <row r="890" spans="6:41">
      <c r="F890" s="31"/>
      <c r="M890" s="31"/>
      <c r="U890" s="31"/>
      <c r="W890" s="63"/>
      <c r="AA890" s="63"/>
      <c r="AC890" s="31"/>
      <c r="AN890" s="32"/>
      <c r="AO890" s="98"/>
    </row>
    <row r="891" spans="6:41">
      <c r="F891" s="31"/>
      <c r="M891" s="31"/>
      <c r="U891" s="31"/>
      <c r="W891" s="63"/>
      <c r="AA891" s="63"/>
      <c r="AC891" s="31"/>
      <c r="AN891" s="32"/>
      <c r="AO891" s="98"/>
    </row>
    <row r="892" spans="6:41">
      <c r="F892" s="31"/>
      <c r="M892" s="31"/>
      <c r="U892" s="31"/>
      <c r="W892" s="63"/>
      <c r="AA892" s="63"/>
      <c r="AC892" s="31"/>
      <c r="AN892" s="32"/>
      <c r="AO892" s="98"/>
    </row>
    <row r="893" spans="6:41">
      <c r="F893" s="31"/>
      <c r="M893" s="31"/>
      <c r="U893" s="31"/>
      <c r="W893" s="63"/>
      <c r="AA893" s="63"/>
      <c r="AC893" s="31"/>
      <c r="AN893" s="32"/>
      <c r="AO893" s="98"/>
    </row>
    <row r="894" spans="6:41">
      <c r="F894" s="31"/>
      <c r="M894" s="31"/>
      <c r="U894" s="31"/>
      <c r="W894" s="63"/>
      <c r="AA894" s="63"/>
      <c r="AC894" s="31"/>
      <c r="AN894" s="32"/>
      <c r="AO894" s="98"/>
    </row>
    <row r="895" spans="6:41">
      <c r="F895" s="31"/>
      <c r="M895" s="31"/>
      <c r="U895" s="31"/>
      <c r="W895" s="63"/>
      <c r="AA895" s="63"/>
      <c r="AC895" s="31"/>
      <c r="AN895" s="32"/>
      <c r="AO895" s="98"/>
    </row>
    <row r="896" spans="6:41">
      <c r="F896" s="31"/>
      <c r="M896" s="31"/>
      <c r="U896" s="31"/>
      <c r="W896" s="63"/>
      <c r="AA896" s="63"/>
      <c r="AC896" s="31"/>
      <c r="AN896" s="32"/>
      <c r="AO896" s="98"/>
    </row>
    <row r="897" spans="6:41">
      <c r="F897" s="31"/>
      <c r="M897" s="31"/>
      <c r="U897" s="31"/>
      <c r="W897" s="63"/>
      <c r="AA897" s="63"/>
      <c r="AC897" s="31"/>
      <c r="AN897" s="32"/>
      <c r="AO897" s="98"/>
    </row>
    <row r="898" spans="6:41">
      <c r="F898" s="31"/>
      <c r="M898" s="31"/>
      <c r="U898" s="31"/>
      <c r="W898" s="63"/>
      <c r="AA898" s="63"/>
      <c r="AC898" s="31"/>
      <c r="AN898" s="32"/>
      <c r="AO898" s="98"/>
    </row>
    <row r="899" spans="6:41">
      <c r="F899" s="31"/>
      <c r="M899" s="31"/>
      <c r="U899" s="31"/>
      <c r="W899" s="63"/>
      <c r="AA899" s="63"/>
      <c r="AC899" s="31"/>
      <c r="AN899" s="32"/>
      <c r="AO899" s="98"/>
    </row>
    <row r="900" spans="6:41">
      <c r="F900" s="31"/>
      <c r="M900" s="31"/>
      <c r="U900" s="31"/>
      <c r="W900" s="63"/>
      <c r="AA900" s="63"/>
      <c r="AC900" s="31"/>
      <c r="AN900" s="32"/>
      <c r="AO900" s="98"/>
    </row>
    <row r="901" spans="6:41">
      <c r="F901" s="31"/>
      <c r="M901" s="31"/>
      <c r="U901" s="31"/>
      <c r="W901" s="63"/>
      <c r="AA901" s="63"/>
      <c r="AC901" s="31"/>
      <c r="AN901" s="32"/>
      <c r="AO901" s="98"/>
    </row>
    <row r="902" spans="6:41">
      <c r="F902" s="31"/>
      <c r="M902" s="31"/>
      <c r="U902" s="31"/>
      <c r="W902" s="63"/>
      <c r="AA902" s="63"/>
      <c r="AC902" s="31"/>
      <c r="AN902" s="32"/>
      <c r="AO902" s="98"/>
    </row>
    <row r="903" spans="6:41">
      <c r="F903" s="31"/>
      <c r="M903" s="31"/>
      <c r="U903" s="31"/>
      <c r="W903" s="63"/>
      <c r="AA903" s="63"/>
      <c r="AC903" s="31"/>
      <c r="AN903" s="32"/>
      <c r="AO903" s="98"/>
    </row>
    <row r="904" spans="6:41">
      <c r="F904" s="31"/>
      <c r="M904" s="31"/>
      <c r="U904" s="31"/>
      <c r="W904" s="63"/>
      <c r="AA904" s="63"/>
      <c r="AC904" s="31"/>
      <c r="AN904" s="32"/>
      <c r="AO904" s="98"/>
    </row>
    <row r="905" spans="6:41">
      <c r="F905" s="31"/>
      <c r="M905" s="31"/>
      <c r="U905" s="31"/>
      <c r="W905" s="63"/>
      <c r="AA905" s="63"/>
      <c r="AC905" s="31"/>
      <c r="AN905" s="32"/>
      <c r="AO905" s="98"/>
    </row>
    <row r="906" spans="6:41">
      <c r="F906" s="31"/>
      <c r="M906" s="31"/>
      <c r="U906" s="31"/>
      <c r="W906" s="63"/>
      <c r="AA906" s="63"/>
      <c r="AC906" s="31"/>
      <c r="AN906" s="32"/>
      <c r="AO906" s="98"/>
    </row>
    <row r="907" spans="6:41">
      <c r="F907" s="31"/>
      <c r="M907" s="31"/>
      <c r="U907" s="31"/>
      <c r="W907" s="63"/>
      <c r="AA907" s="63"/>
      <c r="AC907" s="31"/>
      <c r="AN907" s="32"/>
      <c r="AO907" s="98"/>
    </row>
    <row r="908" spans="6:41">
      <c r="F908" s="31"/>
      <c r="M908" s="31"/>
      <c r="U908" s="31"/>
      <c r="W908" s="63"/>
      <c r="AA908" s="63"/>
      <c r="AC908" s="31"/>
      <c r="AN908" s="32"/>
      <c r="AO908" s="98"/>
    </row>
    <row r="909" spans="6:41">
      <c r="F909" s="31"/>
      <c r="M909" s="31"/>
      <c r="U909" s="31"/>
      <c r="W909" s="63"/>
      <c r="AA909" s="63"/>
      <c r="AC909" s="31"/>
      <c r="AN909" s="32"/>
      <c r="AO909" s="98"/>
    </row>
    <row r="910" spans="6:41">
      <c r="F910" s="31"/>
      <c r="M910" s="31"/>
      <c r="U910" s="31"/>
      <c r="W910" s="63"/>
      <c r="AA910" s="63"/>
      <c r="AC910" s="31"/>
      <c r="AN910" s="32"/>
      <c r="AO910" s="98"/>
    </row>
    <row r="911" spans="6:41">
      <c r="F911" s="31"/>
      <c r="M911" s="31"/>
      <c r="U911" s="31"/>
      <c r="W911" s="63"/>
      <c r="AA911" s="63"/>
      <c r="AC911" s="31"/>
      <c r="AN911" s="32"/>
      <c r="AO911" s="98"/>
    </row>
    <row r="912" spans="6:41">
      <c r="F912" s="31"/>
      <c r="M912" s="31"/>
      <c r="U912" s="31"/>
      <c r="W912" s="63"/>
      <c r="AA912" s="63"/>
      <c r="AC912" s="31"/>
      <c r="AN912" s="32"/>
      <c r="AO912" s="98"/>
    </row>
    <row r="913" spans="6:41">
      <c r="F913" s="31"/>
      <c r="M913" s="31"/>
      <c r="U913" s="31"/>
      <c r="W913" s="63"/>
      <c r="AA913" s="63"/>
      <c r="AC913" s="31"/>
      <c r="AN913" s="32"/>
      <c r="AO913" s="98"/>
    </row>
    <row r="914" spans="6:41">
      <c r="F914" s="31"/>
      <c r="M914" s="31"/>
      <c r="U914" s="31"/>
      <c r="W914" s="63"/>
      <c r="AA914" s="63"/>
      <c r="AC914" s="31"/>
      <c r="AN914" s="32"/>
      <c r="AO914" s="98"/>
    </row>
    <row r="915" spans="6:41">
      <c r="F915" s="31"/>
      <c r="M915" s="31"/>
      <c r="U915" s="31"/>
      <c r="W915" s="63"/>
      <c r="AA915" s="63"/>
      <c r="AC915" s="31"/>
      <c r="AN915" s="32"/>
      <c r="AO915" s="98"/>
    </row>
    <row r="916" spans="6:41">
      <c r="F916" s="31"/>
      <c r="M916" s="31"/>
      <c r="U916" s="31"/>
      <c r="W916" s="63"/>
      <c r="AA916" s="63"/>
      <c r="AC916" s="31"/>
      <c r="AN916" s="32"/>
      <c r="AO916" s="98"/>
    </row>
    <row r="917" spans="6:41">
      <c r="F917" s="31"/>
      <c r="M917" s="31"/>
      <c r="U917" s="31"/>
      <c r="W917" s="63"/>
      <c r="AA917" s="63"/>
      <c r="AC917" s="31"/>
      <c r="AN917" s="32"/>
      <c r="AO917" s="98"/>
    </row>
    <row r="918" spans="6:41">
      <c r="F918" s="31"/>
      <c r="M918" s="31"/>
      <c r="U918" s="31"/>
      <c r="W918" s="63"/>
      <c r="AA918" s="63"/>
      <c r="AC918" s="31"/>
      <c r="AN918" s="32"/>
      <c r="AO918" s="98"/>
    </row>
    <row r="919" spans="6:41">
      <c r="F919" s="31"/>
      <c r="M919" s="31"/>
      <c r="U919" s="31"/>
      <c r="W919" s="63"/>
      <c r="AA919" s="63"/>
      <c r="AC919" s="31"/>
      <c r="AN919" s="32"/>
      <c r="AO919" s="98"/>
    </row>
    <row r="920" spans="6:41">
      <c r="F920" s="31"/>
      <c r="M920" s="31"/>
      <c r="U920" s="31"/>
      <c r="W920" s="63"/>
      <c r="AA920" s="63"/>
      <c r="AC920" s="31"/>
      <c r="AN920" s="32"/>
      <c r="AO920" s="98"/>
    </row>
    <row r="921" spans="6:41">
      <c r="F921" s="31"/>
      <c r="M921" s="31"/>
      <c r="U921" s="31"/>
      <c r="W921" s="63"/>
      <c r="AA921" s="63"/>
      <c r="AC921" s="31"/>
      <c r="AN921" s="32"/>
      <c r="AO921" s="98"/>
    </row>
    <row r="922" spans="6:41">
      <c r="F922" s="31"/>
      <c r="M922" s="31"/>
      <c r="U922" s="31"/>
      <c r="W922" s="63"/>
      <c r="AA922" s="63"/>
      <c r="AC922" s="31"/>
      <c r="AN922" s="32"/>
      <c r="AO922" s="98"/>
    </row>
    <row r="923" spans="6:41">
      <c r="F923" s="31"/>
      <c r="M923" s="31"/>
      <c r="U923" s="31"/>
      <c r="W923" s="63"/>
      <c r="AA923" s="63"/>
      <c r="AC923" s="31"/>
      <c r="AN923" s="32"/>
      <c r="AO923" s="98"/>
    </row>
    <row r="924" spans="6:41">
      <c r="F924" s="31"/>
      <c r="M924" s="31"/>
      <c r="U924" s="31"/>
      <c r="W924" s="63"/>
      <c r="AA924" s="63"/>
      <c r="AC924" s="31"/>
      <c r="AN924" s="32"/>
      <c r="AO924" s="98"/>
    </row>
    <row r="925" spans="6:41">
      <c r="F925" s="31"/>
      <c r="M925" s="31"/>
      <c r="U925" s="31"/>
      <c r="W925" s="63"/>
      <c r="AA925" s="63"/>
      <c r="AC925" s="31"/>
      <c r="AN925" s="32"/>
      <c r="AO925" s="98"/>
    </row>
    <row r="926" spans="6:41">
      <c r="F926" s="31"/>
      <c r="M926" s="31"/>
      <c r="U926" s="31"/>
      <c r="W926" s="63"/>
      <c r="AA926" s="63"/>
      <c r="AC926" s="31"/>
      <c r="AN926" s="32"/>
      <c r="AO926" s="98"/>
    </row>
    <row r="927" spans="6:41">
      <c r="F927" s="31"/>
      <c r="M927" s="31"/>
      <c r="U927" s="31"/>
      <c r="W927" s="63"/>
      <c r="AA927" s="63"/>
      <c r="AC927" s="31"/>
      <c r="AN927" s="32"/>
      <c r="AO927" s="98"/>
    </row>
    <row r="928" spans="6:41">
      <c r="F928" s="31"/>
      <c r="M928" s="31"/>
      <c r="U928" s="31"/>
      <c r="W928" s="63"/>
      <c r="AA928" s="63"/>
      <c r="AC928" s="31"/>
      <c r="AN928" s="32"/>
      <c r="AO928" s="98"/>
    </row>
    <row r="929" spans="6:41">
      <c r="F929" s="31"/>
      <c r="M929" s="31"/>
      <c r="U929" s="31"/>
      <c r="W929" s="63"/>
      <c r="AA929" s="63"/>
      <c r="AC929" s="31"/>
      <c r="AN929" s="32"/>
      <c r="AO929" s="98"/>
    </row>
    <row r="930" spans="6:41">
      <c r="F930" s="31"/>
      <c r="M930" s="31"/>
      <c r="U930" s="31"/>
      <c r="W930" s="63"/>
      <c r="AA930" s="63"/>
      <c r="AC930" s="31"/>
      <c r="AN930" s="32"/>
      <c r="AO930" s="98"/>
    </row>
    <row r="931" spans="6:41">
      <c r="F931" s="31"/>
      <c r="M931" s="31"/>
      <c r="U931" s="31"/>
      <c r="W931" s="63"/>
      <c r="AA931" s="63"/>
      <c r="AC931" s="31"/>
      <c r="AN931" s="32"/>
      <c r="AO931" s="98"/>
    </row>
    <row r="932" spans="6:41">
      <c r="F932" s="31"/>
      <c r="M932" s="31"/>
      <c r="U932" s="31"/>
      <c r="W932" s="63"/>
      <c r="AA932" s="63"/>
      <c r="AC932" s="31"/>
      <c r="AN932" s="32"/>
      <c r="AO932" s="98"/>
    </row>
    <row r="933" spans="6:41">
      <c r="F933" s="31"/>
      <c r="M933" s="31"/>
      <c r="U933" s="31"/>
      <c r="W933" s="63"/>
      <c r="AA933" s="63"/>
      <c r="AC933" s="31"/>
      <c r="AN933" s="32"/>
      <c r="AO933" s="98"/>
    </row>
    <row r="934" spans="6:41">
      <c r="F934" s="31"/>
      <c r="M934" s="31"/>
      <c r="U934" s="31"/>
      <c r="W934" s="63"/>
      <c r="AA934" s="63"/>
      <c r="AC934" s="31"/>
      <c r="AN934" s="32"/>
      <c r="AO934" s="98"/>
    </row>
    <row r="935" spans="6:41">
      <c r="F935" s="31"/>
      <c r="M935" s="31"/>
      <c r="U935" s="31"/>
      <c r="W935" s="63"/>
      <c r="AA935" s="63"/>
      <c r="AC935" s="31"/>
      <c r="AN935" s="32"/>
      <c r="AO935" s="98"/>
    </row>
    <row r="936" spans="6:41">
      <c r="F936" s="31"/>
      <c r="M936" s="31"/>
      <c r="U936" s="31"/>
      <c r="W936" s="63"/>
      <c r="AA936" s="63"/>
      <c r="AC936" s="31"/>
      <c r="AN936" s="32"/>
      <c r="AO936" s="98"/>
    </row>
    <row r="937" spans="6:41">
      <c r="F937" s="31"/>
      <c r="M937" s="31"/>
      <c r="U937" s="31"/>
      <c r="W937" s="63"/>
      <c r="AA937" s="63"/>
      <c r="AC937" s="31"/>
      <c r="AN937" s="32"/>
      <c r="AO937" s="98"/>
    </row>
    <row r="938" spans="6:41">
      <c r="F938" s="31"/>
      <c r="M938" s="31"/>
      <c r="U938" s="31"/>
      <c r="W938" s="63"/>
      <c r="AA938" s="63"/>
      <c r="AC938" s="31"/>
      <c r="AN938" s="32"/>
      <c r="AO938" s="98"/>
    </row>
    <row r="939" spans="6:41">
      <c r="F939" s="31"/>
      <c r="M939" s="31"/>
      <c r="U939" s="31"/>
      <c r="W939" s="63"/>
      <c r="AA939" s="63"/>
      <c r="AC939" s="31"/>
      <c r="AN939" s="32"/>
      <c r="AO939" s="98"/>
    </row>
    <row r="940" spans="6:41">
      <c r="F940" s="31"/>
      <c r="M940" s="31"/>
      <c r="U940" s="31"/>
      <c r="W940" s="63"/>
      <c r="AA940" s="63"/>
      <c r="AC940" s="31"/>
      <c r="AN940" s="32"/>
      <c r="AO940" s="98"/>
    </row>
    <row r="941" spans="6:41">
      <c r="F941" s="31"/>
      <c r="M941" s="31"/>
      <c r="U941" s="31"/>
      <c r="W941" s="63"/>
      <c r="AA941" s="63"/>
      <c r="AC941" s="31"/>
      <c r="AN941" s="32"/>
      <c r="AO941" s="98"/>
    </row>
    <row r="942" spans="6:41">
      <c r="F942" s="31"/>
      <c r="M942" s="31"/>
      <c r="U942" s="31"/>
      <c r="W942" s="63"/>
      <c r="AA942" s="63"/>
      <c r="AC942" s="31"/>
      <c r="AN942" s="32"/>
      <c r="AO942" s="98"/>
    </row>
    <row r="943" spans="6:41">
      <c r="F943" s="31"/>
      <c r="M943" s="31"/>
      <c r="U943" s="31"/>
      <c r="W943" s="63"/>
      <c r="AA943" s="63"/>
      <c r="AC943" s="31"/>
      <c r="AN943" s="32"/>
      <c r="AO943" s="98"/>
    </row>
    <row r="944" spans="6:41">
      <c r="F944" s="31"/>
      <c r="M944" s="31"/>
      <c r="U944" s="31"/>
      <c r="W944" s="63"/>
      <c r="AA944" s="63"/>
      <c r="AC944" s="31"/>
      <c r="AN944" s="32"/>
      <c r="AO944" s="98"/>
    </row>
    <row r="945" spans="6:41">
      <c r="F945" s="31"/>
      <c r="M945" s="31"/>
      <c r="U945" s="31"/>
      <c r="W945" s="63"/>
      <c r="AA945" s="63"/>
      <c r="AC945" s="31"/>
      <c r="AN945" s="32"/>
      <c r="AO945" s="98"/>
    </row>
    <row r="946" spans="6:41">
      <c r="F946" s="31"/>
      <c r="M946" s="31"/>
      <c r="U946" s="31"/>
      <c r="W946" s="63"/>
      <c r="AA946" s="63"/>
      <c r="AC946" s="31"/>
      <c r="AN946" s="32"/>
      <c r="AO946" s="98"/>
    </row>
    <row r="947" spans="6:41">
      <c r="F947" s="31"/>
      <c r="M947" s="31"/>
      <c r="U947" s="31"/>
      <c r="W947" s="63"/>
      <c r="AA947" s="63"/>
      <c r="AC947" s="31"/>
      <c r="AN947" s="32"/>
      <c r="AO947" s="98"/>
    </row>
    <row r="948" spans="6:41">
      <c r="F948" s="31"/>
      <c r="M948" s="31"/>
      <c r="U948" s="31"/>
      <c r="W948" s="63"/>
      <c r="AA948" s="63"/>
      <c r="AC948" s="31"/>
      <c r="AN948" s="32"/>
      <c r="AO948" s="98"/>
    </row>
    <row r="949" spans="6:41">
      <c r="F949" s="31"/>
      <c r="M949" s="31"/>
      <c r="U949" s="31"/>
      <c r="W949" s="63"/>
      <c r="AA949" s="63"/>
      <c r="AC949" s="31"/>
      <c r="AN949" s="32"/>
      <c r="AO949" s="98"/>
    </row>
    <row r="950" spans="6:41">
      <c r="F950" s="31"/>
      <c r="M950" s="31"/>
      <c r="U950" s="31"/>
      <c r="W950" s="63"/>
      <c r="AA950" s="63"/>
      <c r="AC950" s="31"/>
      <c r="AN950" s="32"/>
      <c r="AO950" s="98"/>
    </row>
    <row r="951" spans="6:41">
      <c r="F951" s="31"/>
      <c r="M951" s="31"/>
      <c r="U951" s="31"/>
      <c r="W951" s="63"/>
      <c r="AA951" s="63"/>
      <c r="AC951" s="31"/>
      <c r="AN951" s="32"/>
      <c r="AO951" s="98"/>
    </row>
    <row r="952" spans="6:41">
      <c r="F952" s="31"/>
      <c r="M952" s="31"/>
      <c r="U952" s="31"/>
      <c r="W952" s="63"/>
      <c r="AA952" s="63"/>
      <c r="AC952" s="31"/>
      <c r="AN952" s="32"/>
      <c r="AO952" s="98"/>
    </row>
    <row r="953" spans="6:41">
      <c r="F953" s="31"/>
      <c r="M953" s="31"/>
      <c r="U953" s="31"/>
      <c r="W953" s="63"/>
      <c r="AA953" s="63"/>
      <c r="AC953" s="31"/>
      <c r="AN953" s="32"/>
      <c r="AO953" s="98"/>
    </row>
    <row r="954" spans="6:41">
      <c r="F954" s="31"/>
      <c r="M954" s="31"/>
      <c r="U954" s="31"/>
      <c r="W954" s="63"/>
      <c r="AA954" s="63"/>
      <c r="AC954" s="31"/>
      <c r="AN954" s="32"/>
      <c r="AO954" s="98"/>
    </row>
    <row r="955" spans="6:41">
      <c r="F955" s="31"/>
      <c r="M955" s="31"/>
      <c r="U955" s="31"/>
      <c r="W955" s="63"/>
      <c r="AA955" s="63"/>
      <c r="AC955" s="31"/>
      <c r="AN955" s="32"/>
      <c r="AO955" s="98"/>
    </row>
    <row r="956" spans="6:41">
      <c r="F956" s="31"/>
      <c r="M956" s="31"/>
      <c r="U956" s="31"/>
      <c r="W956" s="63"/>
      <c r="AA956" s="63"/>
      <c r="AC956" s="31"/>
      <c r="AN956" s="32"/>
      <c r="AO956" s="98"/>
    </row>
    <row r="957" spans="6:41">
      <c r="F957" s="31"/>
      <c r="M957" s="31"/>
      <c r="U957" s="31"/>
      <c r="W957" s="63"/>
      <c r="AA957" s="63"/>
      <c r="AC957" s="31"/>
      <c r="AN957" s="32"/>
      <c r="AO957" s="98"/>
    </row>
    <row r="958" spans="6:41">
      <c r="F958" s="31"/>
      <c r="M958" s="31"/>
      <c r="U958" s="31"/>
      <c r="W958" s="63"/>
      <c r="AA958" s="63"/>
      <c r="AC958" s="31"/>
      <c r="AN958" s="32"/>
      <c r="AO958" s="98"/>
    </row>
    <row r="959" spans="6:41">
      <c r="F959" s="31"/>
      <c r="M959" s="31"/>
      <c r="U959" s="31"/>
      <c r="W959" s="63"/>
      <c r="AA959" s="63"/>
      <c r="AC959" s="31"/>
      <c r="AN959" s="32"/>
      <c r="AO959" s="98"/>
    </row>
    <row r="960" spans="6:41">
      <c r="F960" s="31"/>
      <c r="M960" s="31"/>
      <c r="U960" s="31"/>
      <c r="W960" s="63"/>
      <c r="AA960" s="63"/>
      <c r="AC960" s="31"/>
      <c r="AN960" s="32"/>
      <c r="AO960" s="98"/>
    </row>
    <row r="961" spans="6:41">
      <c r="F961" s="31"/>
      <c r="M961" s="31"/>
      <c r="U961" s="31"/>
      <c r="W961" s="63"/>
      <c r="AA961" s="63"/>
      <c r="AC961" s="31"/>
      <c r="AN961" s="32"/>
      <c r="AO961" s="98"/>
    </row>
    <row r="962" spans="6:41">
      <c r="F962" s="31"/>
      <c r="M962" s="31"/>
      <c r="U962" s="31"/>
      <c r="W962" s="63"/>
      <c r="AA962" s="63"/>
      <c r="AC962" s="31"/>
      <c r="AN962" s="32"/>
      <c r="AO962" s="98"/>
    </row>
    <row r="963" spans="6:41">
      <c r="F963" s="31"/>
      <c r="M963" s="31"/>
      <c r="U963" s="31"/>
      <c r="W963" s="63"/>
      <c r="AA963" s="63"/>
      <c r="AC963" s="31"/>
      <c r="AN963" s="32"/>
      <c r="AO963" s="98"/>
    </row>
    <row r="964" spans="6:41">
      <c r="F964" s="31"/>
      <c r="M964" s="31"/>
      <c r="U964" s="31"/>
      <c r="W964" s="63"/>
      <c r="AA964" s="63"/>
      <c r="AC964" s="31"/>
      <c r="AN964" s="32"/>
      <c r="AO964" s="98"/>
    </row>
    <row r="965" spans="6:41">
      <c r="F965" s="31"/>
      <c r="M965" s="31"/>
      <c r="U965" s="31"/>
      <c r="W965" s="63"/>
      <c r="AA965" s="63"/>
      <c r="AC965" s="31"/>
      <c r="AN965" s="32"/>
      <c r="AO965" s="98"/>
    </row>
    <row r="966" spans="6:41">
      <c r="F966" s="31"/>
      <c r="M966" s="31"/>
      <c r="U966" s="31"/>
      <c r="W966" s="63"/>
      <c r="AA966" s="63"/>
      <c r="AC966" s="31"/>
      <c r="AN966" s="32"/>
      <c r="AO966" s="98"/>
    </row>
    <row r="967" spans="6:41">
      <c r="F967" s="31"/>
      <c r="M967" s="31"/>
      <c r="U967" s="31"/>
      <c r="W967" s="63"/>
      <c r="AA967" s="63"/>
      <c r="AC967" s="31"/>
      <c r="AN967" s="32"/>
      <c r="AO967" s="98"/>
    </row>
    <row r="968" spans="6:41">
      <c r="F968" s="31"/>
      <c r="M968" s="31"/>
      <c r="U968" s="31"/>
      <c r="W968" s="63"/>
      <c r="AA968" s="63"/>
      <c r="AC968" s="31"/>
      <c r="AN968" s="32"/>
      <c r="AO968" s="98"/>
    </row>
    <row r="969" spans="6:41">
      <c r="F969" s="31"/>
      <c r="M969" s="31"/>
      <c r="U969" s="31"/>
      <c r="W969" s="63"/>
      <c r="AA969" s="63"/>
      <c r="AC969" s="31"/>
      <c r="AN969" s="32"/>
      <c r="AO969" s="98"/>
    </row>
    <row r="970" spans="6:41">
      <c r="F970" s="31"/>
      <c r="M970" s="31"/>
      <c r="U970" s="31"/>
      <c r="W970" s="63"/>
      <c r="AA970" s="63"/>
      <c r="AC970" s="31"/>
      <c r="AN970" s="32"/>
      <c r="AO970" s="98"/>
    </row>
    <row r="971" spans="6:41">
      <c r="F971" s="31"/>
      <c r="M971" s="31"/>
      <c r="U971" s="31"/>
      <c r="W971" s="63"/>
      <c r="AA971" s="63"/>
      <c r="AC971" s="31"/>
      <c r="AN971" s="32"/>
      <c r="AO971" s="98"/>
    </row>
    <row r="972" spans="6:41">
      <c r="F972" s="31"/>
      <c r="M972" s="31"/>
      <c r="U972" s="31"/>
      <c r="W972" s="63"/>
      <c r="AA972" s="63"/>
      <c r="AC972" s="31"/>
      <c r="AN972" s="32"/>
      <c r="AO972" s="98"/>
    </row>
    <row r="973" spans="6:41">
      <c r="F973" s="31"/>
      <c r="M973" s="31"/>
      <c r="U973" s="31"/>
      <c r="W973" s="63"/>
      <c r="AA973" s="63"/>
      <c r="AC973" s="31"/>
      <c r="AN973" s="32"/>
      <c r="AO973" s="98"/>
    </row>
    <row r="974" spans="6:41">
      <c r="F974" s="31"/>
      <c r="M974" s="31"/>
      <c r="U974" s="31"/>
      <c r="W974" s="63"/>
      <c r="AA974" s="63"/>
      <c r="AC974" s="31"/>
      <c r="AN974" s="32"/>
      <c r="AO974" s="98"/>
    </row>
    <row r="975" spans="6:41">
      <c r="F975" s="31"/>
      <c r="M975" s="31"/>
      <c r="U975" s="31"/>
      <c r="W975" s="63"/>
      <c r="AA975" s="63"/>
      <c r="AC975" s="31"/>
      <c r="AN975" s="32"/>
      <c r="AO975" s="98"/>
    </row>
    <row r="976" spans="6:41">
      <c r="F976" s="31"/>
      <c r="M976" s="31"/>
      <c r="U976" s="31"/>
      <c r="W976" s="63"/>
      <c r="AA976" s="63"/>
      <c r="AC976" s="31"/>
      <c r="AN976" s="32"/>
      <c r="AO976" s="98"/>
    </row>
    <row r="977" spans="6:41">
      <c r="F977" s="31"/>
      <c r="M977" s="31"/>
      <c r="U977" s="31"/>
      <c r="W977" s="63"/>
      <c r="AA977" s="63"/>
      <c r="AC977" s="31"/>
      <c r="AN977" s="32"/>
      <c r="AO977" s="98"/>
    </row>
    <row r="978" spans="6:41">
      <c r="F978" s="31"/>
      <c r="M978" s="31"/>
      <c r="U978" s="31"/>
      <c r="W978" s="63"/>
      <c r="AA978" s="63"/>
      <c r="AC978" s="31"/>
      <c r="AN978" s="32"/>
      <c r="AO978" s="98"/>
    </row>
    <row r="979" spans="6:41">
      <c r="F979" s="31"/>
      <c r="M979" s="31"/>
      <c r="U979" s="31"/>
      <c r="W979" s="63"/>
      <c r="AA979" s="63"/>
      <c r="AC979" s="31"/>
      <c r="AN979" s="32"/>
      <c r="AO979" s="98"/>
    </row>
    <row r="980" spans="6:41">
      <c r="F980" s="31"/>
      <c r="M980" s="31"/>
      <c r="U980" s="31"/>
      <c r="W980" s="63"/>
      <c r="AA980" s="63"/>
      <c r="AC980" s="31"/>
      <c r="AN980" s="32"/>
      <c r="AO980" s="98"/>
    </row>
    <row r="981" spans="6:41">
      <c r="F981" s="31"/>
      <c r="M981" s="31"/>
      <c r="U981" s="31"/>
      <c r="W981" s="63"/>
      <c r="AA981" s="63"/>
      <c r="AC981" s="31"/>
      <c r="AN981" s="32"/>
      <c r="AO981" s="98"/>
    </row>
    <row r="982" spans="6:41">
      <c r="F982" s="31"/>
      <c r="M982" s="31"/>
      <c r="U982" s="31"/>
      <c r="W982" s="63"/>
      <c r="AA982" s="63"/>
      <c r="AC982" s="31"/>
      <c r="AN982" s="32"/>
      <c r="AO982" s="98"/>
    </row>
    <row r="983" spans="6:41">
      <c r="F983" s="31"/>
      <c r="M983" s="31"/>
      <c r="U983" s="31"/>
      <c r="W983" s="63"/>
      <c r="AA983" s="63"/>
      <c r="AC983" s="31"/>
      <c r="AN983" s="32"/>
      <c r="AO983" s="98"/>
    </row>
    <row r="984" spans="6:41">
      <c r="F984" s="31"/>
      <c r="M984" s="31"/>
      <c r="U984" s="31"/>
      <c r="W984" s="63"/>
      <c r="AA984" s="63"/>
      <c r="AC984" s="31"/>
      <c r="AN984" s="32"/>
      <c r="AO984" s="98"/>
    </row>
    <row r="985" spans="6:41">
      <c r="F985" s="31"/>
      <c r="M985" s="31"/>
      <c r="U985" s="31"/>
      <c r="W985" s="63"/>
      <c r="AA985" s="63"/>
      <c r="AC985" s="31"/>
      <c r="AN985" s="32"/>
      <c r="AO985" s="98"/>
    </row>
    <row r="986" spans="6:41">
      <c r="F986" s="31"/>
      <c r="M986" s="31"/>
      <c r="U986" s="31"/>
      <c r="W986" s="63"/>
      <c r="AA986" s="63"/>
      <c r="AC986" s="31"/>
      <c r="AN986" s="32"/>
      <c r="AO986" s="98"/>
    </row>
    <row r="987" spans="6:41">
      <c r="F987" s="31"/>
      <c r="M987" s="31"/>
      <c r="U987" s="31"/>
      <c r="W987" s="63"/>
      <c r="AA987" s="63"/>
      <c r="AC987" s="31"/>
      <c r="AN987" s="32"/>
      <c r="AO987" s="98"/>
    </row>
    <row r="988" spans="6:41">
      <c r="F988" s="31"/>
      <c r="M988" s="31"/>
      <c r="U988" s="31"/>
      <c r="W988" s="63"/>
      <c r="AA988" s="63"/>
      <c r="AC988" s="31"/>
      <c r="AN988" s="32"/>
      <c r="AO988" s="98"/>
    </row>
    <row r="989" spans="6:41">
      <c r="F989" s="31"/>
      <c r="M989" s="31"/>
      <c r="U989" s="31"/>
      <c r="W989" s="63"/>
      <c r="AA989" s="63"/>
      <c r="AC989" s="31"/>
      <c r="AN989" s="32"/>
      <c r="AO989" s="98"/>
    </row>
    <row r="990" spans="6:41">
      <c r="F990" s="31"/>
      <c r="M990" s="31"/>
      <c r="U990" s="31"/>
      <c r="W990" s="63"/>
      <c r="AA990" s="63"/>
      <c r="AC990" s="31"/>
      <c r="AN990" s="32"/>
      <c r="AO990" s="98"/>
    </row>
    <row r="991" spans="6:41">
      <c r="F991" s="31"/>
      <c r="M991" s="31"/>
      <c r="U991" s="31"/>
      <c r="W991" s="63"/>
      <c r="AA991" s="63"/>
      <c r="AC991" s="31"/>
      <c r="AN991" s="32"/>
      <c r="AO991" s="98"/>
    </row>
    <row r="992" spans="6:41">
      <c r="F992" s="31"/>
      <c r="M992" s="31"/>
      <c r="U992" s="31"/>
      <c r="W992" s="63"/>
      <c r="AA992" s="63"/>
      <c r="AC992" s="31"/>
      <c r="AN992" s="32"/>
      <c r="AO992" s="98"/>
    </row>
    <row r="993" spans="6:41">
      <c r="F993" s="31"/>
      <c r="M993" s="31"/>
      <c r="U993" s="31"/>
      <c r="W993" s="63"/>
      <c r="AA993" s="63"/>
      <c r="AC993" s="31"/>
      <c r="AN993" s="32"/>
      <c r="AO993" s="98"/>
    </row>
    <row r="994" spans="6:41">
      <c r="F994" s="31"/>
      <c r="M994" s="31"/>
      <c r="U994" s="31"/>
      <c r="W994" s="63"/>
      <c r="AA994" s="63"/>
      <c r="AC994" s="31"/>
      <c r="AN994" s="32"/>
      <c r="AO994" s="98"/>
    </row>
    <row r="995" spans="6:41">
      <c r="F995" s="31"/>
      <c r="M995" s="31"/>
      <c r="U995" s="31"/>
      <c r="W995" s="63"/>
      <c r="AA995" s="63"/>
      <c r="AC995" s="31"/>
      <c r="AN995" s="32"/>
      <c r="AO995" s="98"/>
    </row>
    <row r="996" spans="6:41">
      <c r="F996" s="31"/>
      <c r="M996" s="31"/>
      <c r="U996" s="31"/>
      <c r="W996" s="63"/>
      <c r="AA996" s="63"/>
      <c r="AC996" s="31"/>
      <c r="AN996" s="32"/>
      <c r="AO996" s="98"/>
    </row>
    <row r="997" spans="6:41">
      <c r="F997" s="31"/>
      <c r="M997" s="31"/>
      <c r="U997" s="31"/>
      <c r="W997" s="63"/>
      <c r="AA997" s="63"/>
      <c r="AC997" s="31"/>
      <c r="AN997" s="32"/>
      <c r="AO997" s="98"/>
    </row>
    <row r="998" spans="6:41">
      <c r="F998" s="31"/>
      <c r="M998" s="31"/>
      <c r="U998" s="31"/>
      <c r="W998" s="63"/>
      <c r="AA998" s="63"/>
      <c r="AC998" s="31"/>
      <c r="AN998" s="32"/>
      <c r="AO998" s="98"/>
    </row>
    <row r="999" spans="6:41">
      <c r="F999" s="31"/>
      <c r="M999" s="31"/>
      <c r="U999" s="31"/>
      <c r="W999" s="63"/>
      <c r="AA999" s="63"/>
      <c r="AC999" s="31"/>
      <c r="AN999" s="32"/>
      <c r="AO999" s="98"/>
    </row>
    <row r="1000" spans="6:41">
      <c r="F1000" s="31"/>
      <c r="M1000" s="31"/>
      <c r="U1000" s="31"/>
      <c r="W1000" s="63"/>
      <c r="AA1000" s="63"/>
      <c r="AC1000" s="31"/>
      <c r="AN1000" s="32"/>
      <c r="AO1000"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T1001"/>
  <sheetViews>
    <sheetView workbookViewId="0">
      <pane xSplit="7" ySplit="1" topLeftCell="H2" activePane="bottomRight" state="frozen"/>
      <selection pane="topRight" activeCell="H1" sqref="H1"/>
      <selection pane="bottomLeft" activeCell="A2" sqref="A2"/>
      <selection pane="bottomRight" activeCell="E16" sqref="E16"/>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5" t="str">
        <f ca="1">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 ca="1">IFERROR(__xludf.DUMMYFUNCTION("""COMPUTED_VALUE"""),"Bander's Initials")</f>
        <v>Bander's Initials</v>
      </c>
      <c r="C1" s="5" t="str">
        <f ca="1">IFERROR(__xludf.DUMMYFUNCTION("""COMPUTED_VALUE"""),"Code")</f>
        <v>Code</v>
      </c>
      <c r="D1" s="99" t="str">
        <f ca="1">IFERROR(__xludf.DUMMYFUNCTION("""COMPUTED_VALUE"""),"Band Number")</f>
        <v>Band Number</v>
      </c>
      <c r="E1" s="5" t="str">
        <f ca="1">IFERROR(__xludf.DUMMYFUNCTION("""COMPUTED_VALUE"""),"Species Name")</f>
        <v>Species Name</v>
      </c>
      <c r="F1" s="5" t="str">
        <f ca="1">IFERROR(__xludf.DUMMYFUNCTION("""COMPUTED_VALUE"""),"Species Alpha Code")</f>
        <v>Species Alpha Code</v>
      </c>
      <c r="G1" s="5" t="str">
        <f ca="1">IFERROR(__xludf.DUMMYFUNCTION("""COMPUTED_VALUE"""),"Age")</f>
        <v>Age</v>
      </c>
      <c r="H1" s="5" t="str">
        <f ca="1">IFERROR(__xludf.DUMMYFUNCTION("""COMPUTED_VALUE"""),"How Age 1")</f>
        <v>How Age 1</v>
      </c>
      <c r="I1" s="5" t="str">
        <f ca="1">IFERROR(__xludf.DUMMYFUNCTION("""COMPUTED_VALUE"""),"How Age 2")</f>
        <v>How Age 2</v>
      </c>
      <c r="J1" s="5" t="str">
        <f ca="1">IFERROR(__xludf.DUMMYFUNCTION("""COMPUTED_VALUE"""),"WRP Code")</f>
        <v>WRP Code</v>
      </c>
      <c r="K1" s="5" t="str">
        <f ca="1">IFERROR(__xludf.DUMMYFUNCTION("""COMPUTED_VALUE"""),"Sex")</f>
        <v>Sex</v>
      </c>
      <c r="L1" s="5" t="str">
        <f ca="1">IFERROR(__xludf.DUMMYFUNCTION("""COMPUTED_VALUE"""),"How Sex 1")</f>
        <v>How Sex 1</v>
      </c>
      <c r="M1" s="5" t="str">
        <f ca="1">IFERROR(__xludf.DUMMYFUNCTION("""COMPUTED_VALUE"""),"How Sex 2")</f>
        <v>How Sex 2</v>
      </c>
      <c r="N1" s="5" t="str">
        <f ca="1">IFERROR(__xludf.DUMMYFUNCTION("""COMPUTED_VALUE"""),"Skull")</f>
        <v>Skull</v>
      </c>
      <c r="O1" s="5" t="str">
        <f ca="1">IFERROR(__xludf.DUMMYFUNCTION("""COMPUTED_VALUE"""),"Cl Prot.")</f>
        <v>Cl Prot.</v>
      </c>
      <c r="P1" s="5" t="str">
        <f ca="1">IFERROR(__xludf.DUMMYFUNCTION("""COMPUTED_VALUE"""),"Br. Patch")</f>
        <v>Br. Patch</v>
      </c>
      <c r="Q1" s="5" t="str">
        <f ca="1">IFERROR(__xludf.DUMMYFUNCTION("""COMPUTED_VALUE"""),"Fat")</f>
        <v>Fat</v>
      </c>
      <c r="R1" s="5" t="str">
        <f ca="1">IFERROR(__xludf.DUMMYFUNCTION("""COMPUTED_VALUE"""),"Body Molt")</f>
        <v>Body Molt</v>
      </c>
      <c r="S1" s="5" t="str">
        <f ca="1">IFERROR(__xludf.DUMMYFUNCTION("""COMPUTED_VALUE"""),"FF Molt")</f>
        <v>FF Molt</v>
      </c>
      <c r="T1" s="5" t="str">
        <f ca="1">IFERROR(__xludf.DUMMYFUNCTION("""COMPUTED_VALUE"""),"FF Wear")</f>
        <v>FF Wear</v>
      </c>
      <c r="U1" s="100" t="str">
        <f ca="1">IFERROR(__xludf.DUMMYFUNCTION("""COMPUTED_VALUE"""),"Juv Body Plum")</f>
        <v>Juv Body Plum</v>
      </c>
      <c r="V1" s="100" t="str">
        <f ca="1">IFERROR(__xludf.DUMMYFUNCTION("""COMPUTED_VALUE"""),"Pcov")</f>
        <v>Pcov</v>
      </c>
      <c r="W1" s="100" t="str">
        <f ca="1">IFERROR(__xludf.DUMMYFUNCTION("""COMPUTED_VALUE"""),"Scov")</f>
        <v>Scov</v>
      </c>
      <c r="X1" s="100" t="str">
        <f ca="1">IFERROR(__xludf.DUMMYFUNCTION("""COMPUTED_VALUE"""),"P")</f>
        <v>P</v>
      </c>
      <c r="Y1" s="5" t="str">
        <f ca="1">IFERROR(__xludf.DUMMYFUNCTION("""COMPUTED_VALUE"""),"S")</f>
        <v>S</v>
      </c>
      <c r="Z1" s="5" t="str">
        <f ca="1">IFERROR(__xludf.DUMMYFUNCTION("""COMPUTED_VALUE"""),"T")</f>
        <v>T</v>
      </c>
      <c r="AA1" s="101" t="str">
        <f ca="1">IFERROR(__xludf.DUMMYFUNCTION("""COMPUTED_VALUE"""),"R")</f>
        <v>R</v>
      </c>
      <c r="AB1" s="101" t="str">
        <f ca="1">IFERROR(__xludf.DUMMYFUNCTION("""COMPUTED_VALUE"""),"Body Plum")</f>
        <v>Body Plum</v>
      </c>
      <c r="AC1" s="5" t="str">
        <f ca="1">IFERROR(__xludf.DUMMYFUNCTION("""COMPUTED_VALUE"""),"Non Feather")</f>
        <v>Non Feather</v>
      </c>
      <c r="AD1" s="5" t="str">
        <f ca="1">IFERROR(__xludf.DUMMYFUNCTION("""COMPUTED_VALUE"""),"Wing")</f>
        <v>Wing</v>
      </c>
      <c r="AE1" s="5" t="str">
        <f ca="1">IFERROR(__xludf.DUMMYFUNCTION("""COMPUTED_VALUE"""),"Body Mass")</f>
        <v>Body Mass</v>
      </c>
      <c r="AF1" s="5" t="str">
        <f ca="1">IFERROR(__xludf.DUMMYFUNCTION("""COMPUTED_VALUE"""),"Status")</f>
        <v>Status</v>
      </c>
      <c r="AG1" s="5" t="str">
        <f ca="1">IFERROR(__xludf.DUMMYFUNCTION("""COMPUTED_VALUE"""),"Month")</f>
        <v>Month</v>
      </c>
      <c r="AH1" s="5" t="str">
        <f ca="1">IFERROR(__xludf.DUMMYFUNCTION("""COMPUTED_VALUE"""),"Day")</f>
        <v>Day</v>
      </c>
      <c r="AI1" s="5" t="str">
        <f ca="1">IFERROR(__xludf.DUMMYFUNCTION("""COMPUTED_VALUE"""),"Time")</f>
        <v>Time</v>
      </c>
      <c r="AJ1" s="5" t="str">
        <f ca="1">IFERROR(__xludf.DUMMYFUNCTION("""COMPUTED_VALUE"""),"Station")</f>
        <v>Station</v>
      </c>
      <c r="AK1" s="5" t="str">
        <f ca="1">IFERROR(__xludf.DUMMYFUNCTION("""COMPUTED_VALUE"""),"Net")</f>
        <v>Net</v>
      </c>
      <c r="AL1" s="5" t="str">
        <f ca="1">IFERROR(__xludf.DUMMYFUNCTION("""COMPUTED_VALUE"""),"Disposition")</f>
        <v>Disposition</v>
      </c>
      <c r="AM1" s="5" t="str">
        <f ca="1">IFERROR(__xludf.DUMMYFUNCTION("""COMPUTED_VALUE"""),"Note Number")</f>
        <v>Note Number</v>
      </c>
      <c r="AN1" s="5" t="str">
        <f ca="1">IFERROR(__xludf.DUMMYFUNCTION("""COMPUTED_VALUE"""),"Note")</f>
        <v>Note</v>
      </c>
      <c r="AO1" s="102" t="str">
        <f ca="1">IFERROR(__xludf.DUMMYFUNCTION("""COMPUTED_VALUE"""),"Band Size")</f>
        <v>Band Size</v>
      </c>
      <c r="AP1" s="5" t="str">
        <f ca="1">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2">
      <c r="A2" s="103">
        <f ca="1">IFERROR(__xludf.DUMMYFUNCTION("""COMPUTED_VALUE"""),1)</f>
        <v>1</v>
      </c>
      <c r="B2" s="103" t="str">
        <f ca="1">IFERROR(__xludf.DUMMYFUNCTION("""COMPUTED_VALUE"""),"NDS")</f>
        <v>NDS</v>
      </c>
      <c r="C2" s="103" t="str">
        <f ca="1">IFERROR(__xludf.DUMMYFUNCTION("""COMPUTED_VALUE"""),"R")</f>
        <v>R</v>
      </c>
      <c r="D2" s="103">
        <f ca="1">IFERROR(__xludf.DUMMYFUNCTION("""COMPUTED_VALUE"""),283105270)</f>
        <v>283105270</v>
      </c>
      <c r="E2" s="103" t="str">
        <f ca="1">IFERROR(__xludf.DUMMYFUNCTION("""COMPUTED_VALUE"""),"Song Sparrow")</f>
        <v>Song Sparrow</v>
      </c>
      <c r="F2" s="103" t="str">
        <f ca="1">IFERROR(__xludf.DUMMYFUNCTION("""COMPUTED_VALUE"""),"SOSP")</f>
        <v>SOSP</v>
      </c>
      <c r="G2" s="103">
        <f ca="1">IFERROR(__xludf.DUMMYFUNCTION("""COMPUTED_VALUE"""),1)</f>
        <v>1</v>
      </c>
      <c r="H2" s="103" t="str">
        <f ca="1">IFERROR(__xludf.DUMMYFUNCTION("""COMPUTED_VALUE"""),"P")</f>
        <v>P</v>
      </c>
      <c r="I2" s="103"/>
      <c r="J2" s="103" t="str">
        <f ca="1">IFERROR(__xludf.DUMMYFUNCTION("""COMPUTED_VALUE"""),"UAJ")</f>
        <v>UAJ</v>
      </c>
      <c r="K2" s="103" t="str">
        <f ca="1">IFERROR(__xludf.DUMMYFUNCTION("""COMPUTED_VALUE"""),"F")</f>
        <v>F</v>
      </c>
      <c r="L2" s="103" t="str">
        <f ca="1">IFERROR(__xludf.DUMMYFUNCTION("""COMPUTED_VALUE"""),"B")</f>
        <v>B</v>
      </c>
      <c r="M2" s="103"/>
      <c r="N2" s="103"/>
      <c r="O2" s="103">
        <f ca="1">IFERROR(__xludf.DUMMYFUNCTION("""COMPUTED_VALUE"""),0)</f>
        <v>0</v>
      </c>
      <c r="P2" s="103">
        <f ca="1">IFERROR(__xludf.DUMMYFUNCTION("""COMPUTED_VALUE"""),3)</f>
        <v>3</v>
      </c>
      <c r="Q2" s="103">
        <f ca="1">IFERROR(__xludf.DUMMYFUNCTION("""COMPUTED_VALUE"""),1)</f>
        <v>1</v>
      </c>
      <c r="R2" s="103">
        <f ca="1">IFERROR(__xludf.DUMMYFUNCTION("""COMPUTED_VALUE"""),0)</f>
        <v>0</v>
      </c>
      <c r="S2" s="103" t="str">
        <f ca="1">IFERROR(__xludf.DUMMYFUNCTION("""COMPUTED_VALUE"""),"N")</f>
        <v>N</v>
      </c>
      <c r="T2" s="103">
        <f ca="1">IFERROR(__xludf.DUMMYFUNCTION("""COMPUTED_VALUE"""),3)</f>
        <v>3</v>
      </c>
      <c r="U2" s="103"/>
      <c r="V2" s="103"/>
      <c r="W2" s="103"/>
      <c r="X2" s="103"/>
      <c r="Y2" s="103"/>
      <c r="Z2" s="103"/>
      <c r="AA2" s="103"/>
      <c r="AB2" s="103"/>
      <c r="AC2" s="103"/>
      <c r="AD2" s="103">
        <f ca="1">IFERROR(__xludf.DUMMYFUNCTION("""COMPUTED_VALUE"""),62)</f>
        <v>62</v>
      </c>
      <c r="AE2" s="103">
        <f ca="1">IFERROR(__xludf.DUMMYFUNCTION("""COMPUTED_VALUE"""),28.2)</f>
        <v>28.2</v>
      </c>
      <c r="AF2" s="103">
        <f ca="1">IFERROR(__xludf.DUMMYFUNCTION("""COMPUTED_VALUE"""),300)</f>
        <v>300</v>
      </c>
      <c r="AG2" s="103">
        <f ca="1">IFERROR(__xludf.DUMMYFUNCTION("""COMPUTED_VALUE"""),6)</f>
        <v>6</v>
      </c>
      <c r="AH2" s="103">
        <f ca="1">IFERROR(__xludf.DUMMYFUNCTION("""COMPUTED_VALUE"""),7)</f>
        <v>7</v>
      </c>
      <c r="AI2" s="103">
        <f ca="1">IFERROR(__xludf.DUMMYFUNCTION("""COMPUTED_VALUE"""),6)</f>
        <v>6</v>
      </c>
      <c r="AJ2" s="103" t="str">
        <f ca="1">IFERROR(__xludf.DUMMYFUNCTION("""COMPUTED_VALUE"""),"MORS")</f>
        <v>MORS</v>
      </c>
      <c r="AK2" s="103">
        <f ca="1">IFERROR(__xludf.DUMMYFUNCTION("""COMPUTED_VALUE"""),15)</f>
        <v>15</v>
      </c>
      <c r="AL2" s="103"/>
      <c r="AM2" s="103"/>
      <c r="AN2" s="103"/>
      <c r="AO2" s="57" t="str">
        <f ca="1">IFERROR(__xludf.DUMMYFUNCTION("""COMPUTED_VALUE"""),"R")</f>
        <v>R</v>
      </c>
      <c r="AP2" s="103">
        <f ca="1">IFERROR(__xludf.DUMMYFUNCTION("""COMPUTED_VALUE"""),1)</f>
        <v>1</v>
      </c>
    </row>
    <row r="3" spans="1:72">
      <c r="A3" s="103">
        <f ca="1">IFERROR(__xludf.DUMMYFUNCTION("""COMPUTED_VALUE"""),2)</f>
        <v>2</v>
      </c>
      <c r="B3" s="103" t="str">
        <f ca="1">IFERROR(__xludf.DUMMYFUNCTION("""COMPUTED_VALUE"""),"NDS")</f>
        <v>NDS</v>
      </c>
      <c r="C3" s="103" t="str">
        <f ca="1">IFERROR(__xludf.DUMMYFUNCTION("""COMPUTED_VALUE"""),"N")</f>
        <v>N</v>
      </c>
      <c r="D3" s="103">
        <f ca="1">IFERROR(__xludf.DUMMYFUNCTION("""COMPUTED_VALUE"""),230196607)</f>
        <v>230196607</v>
      </c>
      <c r="E3" s="103" t="str">
        <f ca="1">IFERROR(__xludf.DUMMYFUNCTION("""COMPUTED_VALUE"""),"Spotted Towhee")</f>
        <v>Spotted Towhee</v>
      </c>
      <c r="F3" s="103" t="str">
        <f ca="1">IFERROR(__xludf.DUMMYFUNCTION("""COMPUTED_VALUE"""),"SPTO")</f>
        <v>SPTO</v>
      </c>
      <c r="G3" s="103">
        <f ca="1">IFERROR(__xludf.DUMMYFUNCTION("""COMPUTED_VALUE"""),5)</f>
        <v>5</v>
      </c>
      <c r="H3" s="103" t="str">
        <f ca="1">IFERROR(__xludf.DUMMYFUNCTION("""COMPUTED_VALUE"""),"P")</f>
        <v>P</v>
      </c>
      <c r="I3" s="103"/>
      <c r="J3" s="103" t="str">
        <f ca="1">IFERROR(__xludf.DUMMYFUNCTION("""COMPUTED_VALUE"""),"FCF")</f>
        <v>FCF</v>
      </c>
      <c r="K3" s="103" t="str">
        <f ca="1">IFERROR(__xludf.DUMMYFUNCTION("""COMPUTED_VALUE"""),"F")</f>
        <v>F</v>
      </c>
      <c r="L3" s="103" t="str">
        <f ca="1">IFERROR(__xludf.DUMMYFUNCTION("""COMPUTED_VALUE"""),"P")</f>
        <v>P</v>
      </c>
      <c r="M3" s="103"/>
      <c r="N3" s="103">
        <f ca="1">IFERROR(__xludf.DUMMYFUNCTION("""COMPUTED_VALUE"""),6)</f>
        <v>6</v>
      </c>
      <c r="O3" s="103">
        <f ca="1">IFERROR(__xludf.DUMMYFUNCTION("""COMPUTED_VALUE"""),0)</f>
        <v>0</v>
      </c>
      <c r="P3" s="103">
        <f ca="1">IFERROR(__xludf.DUMMYFUNCTION("""COMPUTED_VALUE"""),3)</f>
        <v>3</v>
      </c>
      <c r="Q3" s="103">
        <f ca="1">IFERROR(__xludf.DUMMYFUNCTION("""COMPUTED_VALUE"""),1)</f>
        <v>1</v>
      </c>
      <c r="R3" s="103">
        <f ca="1">IFERROR(__xludf.DUMMYFUNCTION("""COMPUTED_VALUE"""),0)</f>
        <v>0</v>
      </c>
      <c r="S3" s="103" t="str">
        <f ca="1">IFERROR(__xludf.DUMMYFUNCTION("""COMPUTED_VALUE"""),"N")</f>
        <v>N</v>
      </c>
      <c r="T3" s="103">
        <f ca="1">IFERROR(__xludf.DUMMYFUNCTION("""COMPUTED_VALUE"""),3)</f>
        <v>3</v>
      </c>
      <c r="U3" s="103"/>
      <c r="V3" s="103" t="str">
        <f ca="1">IFERROR(__xludf.DUMMYFUNCTION("""COMPUTED_VALUE"""),"J")</f>
        <v>J</v>
      </c>
      <c r="W3" s="103" t="str">
        <f ca="1">IFERROR(__xludf.DUMMYFUNCTION("""COMPUTED_VALUE"""),"F")</f>
        <v>F</v>
      </c>
      <c r="X3" s="103"/>
      <c r="Y3" s="103"/>
      <c r="Z3" s="103"/>
      <c r="AA3" s="103" t="str">
        <f ca="1">IFERROR(__xludf.DUMMYFUNCTION("""COMPUTED_VALUE"""),"J")</f>
        <v>J</v>
      </c>
      <c r="AB3" s="103"/>
      <c r="AC3" s="103"/>
      <c r="AD3" s="103">
        <f ca="1">IFERROR(__xludf.DUMMYFUNCTION("""COMPUTED_VALUE"""),78)</f>
        <v>78</v>
      </c>
      <c r="AE3" s="103">
        <f ca="1">IFERROR(__xludf.DUMMYFUNCTION("""COMPUTED_VALUE"""),35.4)</f>
        <v>35.4</v>
      </c>
      <c r="AF3" s="103">
        <f ca="1">IFERROR(__xludf.DUMMYFUNCTION("""COMPUTED_VALUE"""),300)</f>
        <v>300</v>
      </c>
      <c r="AG3" s="103">
        <f ca="1">IFERROR(__xludf.DUMMYFUNCTION("""COMPUTED_VALUE"""),6)</f>
        <v>6</v>
      </c>
      <c r="AH3" s="103">
        <f ca="1">IFERROR(__xludf.DUMMYFUNCTION("""COMPUTED_VALUE"""),7)</f>
        <v>7</v>
      </c>
      <c r="AI3" s="103">
        <f ca="1">IFERROR(__xludf.DUMMYFUNCTION("""COMPUTED_VALUE"""),630)</f>
        <v>630</v>
      </c>
      <c r="AJ3" s="103" t="str">
        <f ca="1">IFERROR(__xludf.DUMMYFUNCTION("""COMPUTED_VALUE"""),"MORS")</f>
        <v>MORS</v>
      </c>
      <c r="AK3" s="103">
        <f ca="1">IFERROR(__xludf.DUMMYFUNCTION("""COMPUTED_VALUE"""),9)</f>
        <v>9</v>
      </c>
      <c r="AL3" s="103"/>
      <c r="AM3" s="103"/>
      <c r="AN3" s="103"/>
      <c r="AO3" s="57" t="str">
        <f ca="1">IFERROR(__xludf.DUMMYFUNCTION("""COMPUTED_VALUE"""),"1A")</f>
        <v>1A</v>
      </c>
      <c r="AP3" s="103">
        <f ca="1">IFERROR(__xludf.DUMMYFUNCTION("""COMPUTED_VALUE"""),1)</f>
        <v>1</v>
      </c>
    </row>
    <row r="4" spans="1:72">
      <c r="A4" s="103">
        <f ca="1">IFERROR(__xludf.DUMMYFUNCTION("""COMPUTED_VALUE"""),3)</f>
        <v>3</v>
      </c>
      <c r="B4" s="103" t="str">
        <f ca="1">IFERROR(__xludf.DUMMYFUNCTION("""COMPUTED_VALUE"""),"NDS")</f>
        <v>NDS</v>
      </c>
      <c r="C4" s="103" t="str">
        <f ca="1">IFERROR(__xludf.DUMMYFUNCTION("""COMPUTED_VALUE"""),"N")</f>
        <v>N</v>
      </c>
      <c r="D4" s="103">
        <f ca="1">IFERROR(__xludf.DUMMYFUNCTION("""COMPUTED_VALUE"""),135291867)</f>
        <v>135291867</v>
      </c>
      <c r="E4" s="103" t="str">
        <f ca="1">IFERROR(__xludf.DUMMYFUNCTION("""COMPUTED_VALUE"""),"Spotted Towhee")</f>
        <v>Spotted Towhee</v>
      </c>
      <c r="F4" s="103" t="str">
        <f ca="1">IFERROR(__xludf.DUMMYFUNCTION("""COMPUTED_VALUE"""),"SPTO")</f>
        <v>SPTO</v>
      </c>
      <c r="G4" s="103">
        <f ca="1">IFERROR(__xludf.DUMMYFUNCTION("""COMPUTED_VALUE"""),5)</f>
        <v>5</v>
      </c>
      <c r="H4" s="103" t="str">
        <f ca="1">IFERROR(__xludf.DUMMYFUNCTION("""COMPUTED_VALUE"""),"P")</f>
        <v>P</v>
      </c>
      <c r="I4" s="103" t="str">
        <f ca="1">IFERROR(__xludf.DUMMYFUNCTION("""COMPUTED_VALUE"""),"L")</f>
        <v>L</v>
      </c>
      <c r="J4" s="103" t="str">
        <f ca="1">IFERROR(__xludf.DUMMYFUNCTION("""COMPUTED_VALUE"""),"FCF")</f>
        <v>FCF</v>
      </c>
      <c r="K4" s="103" t="str">
        <f ca="1">IFERROR(__xludf.DUMMYFUNCTION("""COMPUTED_VALUE"""),"M")</f>
        <v>M</v>
      </c>
      <c r="L4" s="103" t="str">
        <f ca="1">IFERROR(__xludf.DUMMYFUNCTION("""COMPUTED_VALUE"""),"P")</f>
        <v>P</v>
      </c>
      <c r="M4" s="103"/>
      <c r="N4" s="103"/>
      <c r="O4" s="103"/>
      <c r="P4" s="103"/>
      <c r="Q4" s="103"/>
      <c r="R4" s="103"/>
      <c r="S4" s="103"/>
      <c r="T4" s="103"/>
      <c r="U4" s="103"/>
      <c r="V4" s="103" t="str">
        <f ca="1">IFERROR(__xludf.DUMMYFUNCTION("""COMPUTED_VALUE"""),"J")</f>
        <v>J</v>
      </c>
      <c r="W4" s="103" t="str">
        <f ca="1">IFERROR(__xludf.DUMMYFUNCTION("""COMPUTED_VALUE"""),"F")</f>
        <v>F</v>
      </c>
      <c r="X4" s="103"/>
      <c r="Y4" s="103"/>
      <c r="Z4" s="103"/>
      <c r="AA4" s="103" t="str">
        <f ca="1">IFERROR(__xludf.DUMMYFUNCTION("""COMPUTED_VALUE"""),"J")</f>
        <v>J</v>
      </c>
      <c r="AB4" s="103"/>
      <c r="AC4" s="103"/>
      <c r="AD4" s="103">
        <f ca="1">IFERROR(__xludf.DUMMYFUNCTION("""COMPUTED_VALUE"""),84)</f>
        <v>84</v>
      </c>
      <c r="AE4" s="103"/>
      <c r="AF4" s="103">
        <f ca="1">IFERROR(__xludf.DUMMYFUNCTION("""COMPUTED_VALUE"""),300)</f>
        <v>300</v>
      </c>
      <c r="AG4" s="103">
        <f ca="1">IFERROR(__xludf.DUMMYFUNCTION("""COMPUTED_VALUE"""),6)</f>
        <v>6</v>
      </c>
      <c r="AH4" s="103">
        <f ca="1">IFERROR(__xludf.DUMMYFUNCTION("""COMPUTED_VALUE"""),7)</f>
        <v>7</v>
      </c>
      <c r="AI4" s="103">
        <f ca="1">IFERROR(__xludf.DUMMYFUNCTION("""COMPUTED_VALUE"""),630)</f>
        <v>630</v>
      </c>
      <c r="AJ4" s="103" t="str">
        <f ca="1">IFERROR(__xludf.DUMMYFUNCTION("""COMPUTED_VALUE"""),"MORS")</f>
        <v>MORS</v>
      </c>
      <c r="AK4" s="103">
        <f ca="1">IFERROR(__xludf.DUMMYFUNCTION("""COMPUTED_VALUE"""),9)</f>
        <v>9</v>
      </c>
      <c r="AL4" s="103"/>
      <c r="AM4" s="103"/>
      <c r="AN4" s="103"/>
      <c r="AO4" s="57">
        <f ca="1">IFERROR(__xludf.DUMMYFUNCTION("""COMPUTED_VALUE"""),2)</f>
        <v>2</v>
      </c>
      <c r="AP4" s="103">
        <f ca="1">IFERROR(__xludf.DUMMYFUNCTION("""COMPUTED_VALUE"""),1)</f>
        <v>1</v>
      </c>
    </row>
    <row r="5" spans="1:72">
      <c r="A5" s="103">
        <f ca="1">IFERROR(__xludf.DUMMYFUNCTION("""COMPUTED_VALUE"""),4)</f>
        <v>4</v>
      </c>
      <c r="B5" s="103" t="str">
        <f ca="1">IFERROR(__xludf.DUMMYFUNCTION("""COMPUTED_VALUE"""),"NDS")</f>
        <v>NDS</v>
      </c>
      <c r="C5" s="103" t="str">
        <f ca="1">IFERROR(__xludf.DUMMYFUNCTION("""COMPUTED_VALUE"""),"R")</f>
        <v>R</v>
      </c>
      <c r="D5" s="103">
        <f ca="1">IFERROR(__xludf.DUMMYFUNCTION("""COMPUTED_VALUE"""),284053841)</f>
        <v>284053841</v>
      </c>
      <c r="E5" s="103" t="str">
        <f ca="1">IFERROR(__xludf.DUMMYFUNCTION("""COMPUTED_VALUE"""),"Hutton's Vireo")</f>
        <v>Hutton's Vireo</v>
      </c>
      <c r="F5" s="103" t="str">
        <f ca="1">IFERROR(__xludf.DUMMYFUNCTION("""COMPUTED_VALUE"""),"HUVI")</f>
        <v>HUVI</v>
      </c>
      <c r="G5" s="103">
        <f ca="1">IFERROR(__xludf.DUMMYFUNCTION("""COMPUTED_VALUE"""),6)</f>
        <v>6</v>
      </c>
      <c r="H5" s="103" t="str">
        <f ca="1">IFERROR(__xludf.DUMMYFUNCTION("""COMPUTED_VALUE"""),"P")</f>
        <v>P</v>
      </c>
      <c r="I5" s="103" t="str">
        <f ca="1">IFERROR(__xludf.DUMMYFUNCTION("""COMPUTED_VALUE"""),"S")</f>
        <v>S</v>
      </c>
      <c r="J5" s="103" t="str">
        <f ca="1">IFERROR(__xludf.DUMMYFUNCTION("""COMPUTED_VALUE"""),"DCB")</f>
        <v>DCB</v>
      </c>
      <c r="K5" s="103" t="str">
        <f ca="1">IFERROR(__xludf.DUMMYFUNCTION("""COMPUTED_VALUE"""),"U")</f>
        <v>U</v>
      </c>
      <c r="L5" s="103"/>
      <c r="M5" s="103"/>
      <c r="N5" s="103">
        <f ca="1">IFERROR(__xludf.DUMMYFUNCTION("""COMPUTED_VALUE"""),6)</f>
        <v>6</v>
      </c>
      <c r="O5" s="103">
        <f ca="1">IFERROR(__xludf.DUMMYFUNCTION("""COMPUTED_VALUE"""),0)</f>
        <v>0</v>
      </c>
      <c r="P5" s="103">
        <f ca="1">IFERROR(__xludf.DUMMYFUNCTION("""COMPUTED_VALUE"""),0)</f>
        <v>0</v>
      </c>
      <c r="Q5" s="103">
        <f ca="1">IFERROR(__xludf.DUMMYFUNCTION("""COMPUTED_VALUE"""),1)</f>
        <v>1</v>
      </c>
      <c r="R5" s="103">
        <f ca="1">IFERROR(__xludf.DUMMYFUNCTION("""COMPUTED_VALUE"""),0)</f>
        <v>0</v>
      </c>
      <c r="S5" s="103" t="str">
        <f ca="1">IFERROR(__xludf.DUMMYFUNCTION("""COMPUTED_VALUE"""),"N")</f>
        <v>N</v>
      </c>
      <c r="T5" s="103">
        <f ca="1">IFERROR(__xludf.DUMMYFUNCTION("""COMPUTED_VALUE"""),1)</f>
        <v>1</v>
      </c>
      <c r="U5" s="103"/>
      <c r="V5" s="103"/>
      <c r="W5" s="103"/>
      <c r="X5" s="103"/>
      <c r="Y5" s="103"/>
      <c r="Z5" s="103"/>
      <c r="AA5" s="103"/>
      <c r="AB5" s="103"/>
      <c r="AC5" s="103"/>
      <c r="AD5" s="103">
        <f ca="1">IFERROR(__xludf.DUMMYFUNCTION("""COMPUTED_VALUE"""),62)</f>
        <v>62</v>
      </c>
      <c r="AE5" s="103">
        <f ca="1">IFERROR(__xludf.DUMMYFUNCTION("""COMPUTED_VALUE"""),10.7)</f>
        <v>10.7</v>
      </c>
      <c r="AF5" s="103">
        <f ca="1">IFERROR(__xludf.DUMMYFUNCTION("""COMPUTED_VALUE"""),300)</f>
        <v>300</v>
      </c>
      <c r="AG5" s="103">
        <f ca="1">IFERROR(__xludf.DUMMYFUNCTION("""COMPUTED_VALUE"""),6)</f>
        <v>6</v>
      </c>
      <c r="AH5" s="103">
        <f ca="1">IFERROR(__xludf.DUMMYFUNCTION("""COMPUTED_VALUE"""),7)</f>
        <v>7</v>
      </c>
      <c r="AI5" s="103">
        <f ca="1">IFERROR(__xludf.DUMMYFUNCTION("""COMPUTED_VALUE"""),630)</f>
        <v>630</v>
      </c>
      <c r="AJ5" s="103" t="str">
        <f ca="1">IFERROR(__xludf.DUMMYFUNCTION("""COMPUTED_VALUE"""),"MORS")</f>
        <v>MORS</v>
      </c>
      <c r="AK5" s="103">
        <f ca="1">IFERROR(__xludf.DUMMYFUNCTION("""COMPUTED_VALUE"""),9)</f>
        <v>9</v>
      </c>
      <c r="AL5" s="103"/>
      <c r="AM5" s="103">
        <f ca="1">IFERROR(__xludf.DUMMYFUNCTION("""COMPUTED_VALUE"""),1)</f>
        <v>1</v>
      </c>
      <c r="AN5" s="103" t="str">
        <f ca="1">IFERROR(__xludf.DUMMYFUNCTION("""COMPUTED_VALUE"""),"P10 long; 10mm longer. Changed from FCF to UAJ after checking records")</f>
        <v>P10 long; 10mm longer. Changed from FCF to UAJ after checking records</v>
      </c>
      <c r="AO5" s="57" t="str">
        <f ca="1">IFERROR(__xludf.DUMMYFUNCTION("""COMPUTED_VALUE"""),"R")</f>
        <v>R</v>
      </c>
      <c r="AP5" s="103">
        <f ca="1">IFERROR(__xludf.DUMMYFUNCTION("""COMPUTED_VALUE"""),1)</f>
        <v>1</v>
      </c>
    </row>
    <row r="6" spans="1:72">
      <c r="A6" s="103">
        <f ca="1">IFERROR(__xludf.DUMMYFUNCTION("""COMPUTED_VALUE"""),5)</f>
        <v>5</v>
      </c>
      <c r="B6" s="103" t="str">
        <f ca="1">IFERROR(__xludf.DUMMYFUNCTION("""COMPUTED_VALUE"""),"NDS")</f>
        <v>NDS</v>
      </c>
      <c r="C6" s="103" t="str">
        <f ca="1">IFERROR(__xludf.DUMMYFUNCTION("""COMPUTED_VALUE"""),"N")</f>
        <v>N</v>
      </c>
      <c r="D6" s="103">
        <f ca="1">IFERROR(__xludf.DUMMYFUNCTION("""COMPUTED_VALUE"""),135291868)</f>
        <v>135291868</v>
      </c>
      <c r="E6" s="103" t="str">
        <f ca="1">IFERROR(__xludf.DUMMYFUNCTION("""COMPUTED_VALUE"""),"American Robin")</f>
        <v>American Robin</v>
      </c>
      <c r="F6" s="103" t="str">
        <f ca="1">IFERROR(__xludf.DUMMYFUNCTION("""COMPUTED_VALUE"""),"AMRO")</f>
        <v>AMRO</v>
      </c>
      <c r="G6" s="103">
        <f ca="1">IFERROR(__xludf.DUMMYFUNCTION("""COMPUTED_VALUE"""),1)</f>
        <v>1</v>
      </c>
      <c r="H6" s="103" t="str">
        <f ca="1">IFERROR(__xludf.DUMMYFUNCTION("""COMPUTED_VALUE"""),"P")</f>
        <v>P</v>
      </c>
      <c r="I6" s="103" t="str">
        <f ca="1">IFERROR(__xludf.DUMMYFUNCTION("""COMPUTED_VALUE"""),"S")</f>
        <v>S</v>
      </c>
      <c r="J6" s="103" t="str">
        <f ca="1">IFERROR(__xludf.DUMMYFUNCTION("""COMPUTED_VALUE"""),"UAJ")</f>
        <v>UAJ</v>
      </c>
      <c r="K6" s="103" t="str">
        <f ca="1">IFERROR(__xludf.DUMMYFUNCTION("""COMPUTED_VALUE"""),"M")</f>
        <v>M</v>
      </c>
      <c r="L6" s="103" t="str">
        <f ca="1">IFERROR(__xludf.DUMMYFUNCTION("""COMPUTED_VALUE"""),"C")</f>
        <v>C</v>
      </c>
      <c r="M6" s="103" t="str">
        <f ca="1">IFERROR(__xludf.DUMMYFUNCTION("""COMPUTED_VALUE"""),"P")</f>
        <v>P</v>
      </c>
      <c r="N6" s="103">
        <f ca="1">IFERROR(__xludf.DUMMYFUNCTION("""COMPUTED_VALUE"""),6)</f>
        <v>6</v>
      </c>
      <c r="O6" s="103">
        <f ca="1">IFERROR(__xludf.DUMMYFUNCTION("""COMPUTED_VALUE"""),3)</f>
        <v>3</v>
      </c>
      <c r="P6" s="103">
        <f ca="1">IFERROR(__xludf.DUMMYFUNCTION("""COMPUTED_VALUE"""),0)</f>
        <v>0</v>
      </c>
      <c r="Q6" s="103">
        <f ca="1">IFERROR(__xludf.DUMMYFUNCTION("""COMPUTED_VALUE"""),2)</f>
        <v>2</v>
      </c>
      <c r="R6" s="103">
        <f ca="1">IFERROR(__xludf.DUMMYFUNCTION("""COMPUTED_VALUE"""),0)</f>
        <v>0</v>
      </c>
      <c r="S6" s="103" t="str">
        <f ca="1">IFERROR(__xludf.DUMMYFUNCTION("""COMPUTED_VALUE"""),"N")</f>
        <v>N</v>
      </c>
      <c r="T6" s="103">
        <f ca="1">IFERROR(__xludf.DUMMYFUNCTION("""COMPUTED_VALUE"""),2)</f>
        <v>2</v>
      </c>
      <c r="U6" s="103"/>
      <c r="V6" s="103" t="str">
        <f ca="1">IFERROR(__xludf.DUMMYFUNCTION("""COMPUTED_VALUE"""),"U")</f>
        <v>U</v>
      </c>
      <c r="W6" s="103" t="str">
        <f ca="1">IFERROR(__xludf.DUMMYFUNCTION("""COMPUTED_VALUE"""),"U")</f>
        <v>U</v>
      </c>
      <c r="X6" s="103"/>
      <c r="Y6" s="103"/>
      <c r="Z6" s="103"/>
      <c r="AA6" s="103" t="str">
        <f ca="1">IFERROR(__xludf.DUMMYFUNCTION("""COMPUTED_VALUE"""),"B")</f>
        <v>B</v>
      </c>
      <c r="AB6" s="103"/>
      <c r="AC6" s="103"/>
      <c r="AD6" s="103">
        <f ca="1">IFERROR(__xludf.DUMMYFUNCTION("""COMPUTED_VALUE"""),133)</f>
        <v>133</v>
      </c>
      <c r="AE6" s="103">
        <f ca="1">IFERROR(__xludf.DUMMYFUNCTION("""COMPUTED_VALUE"""),84.3)</f>
        <v>84.3</v>
      </c>
      <c r="AF6" s="103">
        <f ca="1">IFERROR(__xludf.DUMMYFUNCTION("""COMPUTED_VALUE"""),300)</f>
        <v>300</v>
      </c>
      <c r="AG6" s="103">
        <f ca="1">IFERROR(__xludf.DUMMYFUNCTION("""COMPUTED_VALUE"""),6)</f>
        <v>6</v>
      </c>
      <c r="AH6" s="103">
        <f ca="1">IFERROR(__xludf.DUMMYFUNCTION("""COMPUTED_VALUE"""),7)</f>
        <v>7</v>
      </c>
      <c r="AI6" s="103">
        <f ca="1">IFERROR(__xludf.DUMMYFUNCTION("""COMPUTED_VALUE"""),710)</f>
        <v>710</v>
      </c>
      <c r="AJ6" s="103" t="str">
        <f ca="1">IFERROR(__xludf.DUMMYFUNCTION("""COMPUTED_VALUE"""),"MORS")</f>
        <v>MORS</v>
      </c>
      <c r="AK6" s="103">
        <f ca="1">IFERROR(__xludf.DUMMYFUNCTION("""COMPUTED_VALUE"""),9)</f>
        <v>9</v>
      </c>
      <c r="AL6" s="103"/>
      <c r="AM6" s="103"/>
      <c r="AN6" s="103"/>
      <c r="AO6" s="57">
        <f ca="1">IFERROR(__xludf.DUMMYFUNCTION("""COMPUTED_VALUE"""),2)</f>
        <v>2</v>
      </c>
      <c r="AP6" s="103">
        <f ca="1">IFERROR(__xludf.DUMMYFUNCTION("""COMPUTED_VALUE"""),1)</f>
        <v>1</v>
      </c>
    </row>
    <row r="7" spans="1:72">
      <c r="A7" s="103">
        <f ca="1">IFERROR(__xludf.DUMMYFUNCTION("""COMPUTED_VALUE"""),6)</f>
        <v>6</v>
      </c>
      <c r="B7" s="103" t="str">
        <f ca="1">IFERROR(__xludf.DUMMYFUNCTION("""COMPUTED_VALUE"""),"NDS")</f>
        <v>NDS</v>
      </c>
      <c r="C7" s="103" t="str">
        <f ca="1">IFERROR(__xludf.DUMMYFUNCTION("""COMPUTED_VALUE"""),"U")</f>
        <v>U</v>
      </c>
      <c r="D7" s="103"/>
      <c r="E7" s="103" t="str">
        <f ca="1">IFERROR(__xludf.DUMMYFUNCTION("""COMPUTED_VALUE"""),"Rufus Hummingbird")</f>
        <v>Rufus Hummingbird</v>
      </c>
      <c r="F7" s="103" t="str">
        <f ca="1">IFERROR(__xludf.DUMMYFUNCTION("""COMPUTED_VALUE"""),"RUHU")</f>
        <v>RUHU</v>
      </c>
      <c r="G7" s="103">
        <f ca="1">IFERROR(__xludf.DUMMYFUNCTION("""COMPUTED_VALUE"""),1)</f>
        <v>1</v>
      </c>
      <c r="H7" s="103" t="str">
        <f ca="1">IFERROR(__xludf.DUMMYFUNCTION("""COMPUTED_VALUE"""),"P")</f>
        <v>P</v>
      </c>
      <c r="I7" s="103"/>
      <c r="J7" s="103"/>
      <c r="K7" s="103" t="str">
        <f ca="1">IFERROR(__xludf.DUMMYFUNCTION("""COMPUTED_VALUE"""),"M")</f>
        <v>M</v>
      </c>
      <c r="L7" s="103" t="str">
        <f ca="1">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 ca="1">IFERROR(__xludf.DUMMYFUNCTION("""COMPUTED_VALUE"""),6)</f>
        <v>6</v>
      </c>
      <c r="AH7" s="103">
        <f ca="1">IFERROR(__xludf.DUMMYFUNCTION("""COMPUTED_VALUE"""),7)</f>
        <v>7</v>
      </c>
      <c r="AI7" s="103">
        <f ca="1">IFERROR(__xludf.DUMMYFUNCTION("""COMPUTED_VALUE"""),740)</f>
        <v>740</v>
      </c>
      <c r="AJ7" s="103" t="str">
        <f ca="1">IFERROR(__xludf.DUMMYFUNCTION("""COMPUTED_VALUE"""),"MORS")</f>
        <v>MORS</v>
      </c>
      <c r="AK7" s="103">
        <f ca="1">IFERROR(__xludf.DUMMYFUNCTION("""COMPUTED_VALUE"""),20)</f>
        <v>20</v>
      </c>
      <c r="AL7" s="103"/>
      <c r="AM7" s="103"/>
      <c r="AN7" s="103"/>
      <c r="AO7" s="57" t="str">
        <f ca="1">IFERROR(__xludf.DUMMYFUNCTION("""COMPUTED_VALUE"""),"U")</f>
        <v>U</v>
      </c>
      <c r="AP7" s="103">
        <f ca="1">IFERROR(__xludf.DUMMYFUNCTION("""COMPUTED_VALUE"""),1)</f>
        <v>1</v>
      </c>
    </row>
    <row r="8" spans="1:72">
      <c r="A8" s="103">
        <f ca="1">IFERROR(__xludf.DUMMYFUNCTION("""COMPUTED_VALUE"""),7)</f>
        <v>7</v>
      </c>
      <c r="B8" s="103" t="str">
        <f ca="1">IFERROR(__xludf.DUMMYFUNCTION("""COMPUTED_VALUE"""),"NDS")</f>
        <v>NDS</v>
      </c>
      <c r="C8" s="103" t="str">
        <f ca="1">IFERROR(__xludf.DUMMYFUNCTION("""COMPUTED_VALUE"""),"U")</f>
        <v>U</v>
      </c>
      <c r="D8" s="103"/>
      <c r="E8" s="103" t="str">
        <f ca="1">IFERROR(__xludf.DUMMYFUNCTION("""COMPUTED_VALUE"""),"Anna's Hummingbird")</f>
        <v>Anna's Hummingbird</v>
      </c>
      <c r="F8" s="103" t="str">
        <f ca="1">IFERROR(__xludf.DUMMYFUNCTION("""COMPUTED_VALUE"""),"ANHU")</f>
        <v>ANHU</v>
      </c>
      <c r="G8" s="103">
        <f ca="1">IFERROR(__xludf.DUMMYFUNCTION("""COMPUTED_VALUE"""),1)</f>
        <v>1</v>
      </c>
      <c r="H8" s="103" t="str">
        <f ca="1">IFERROR(__xludf.DUMMYFUNCTION("""COMPUTED_VALUE"""),"P")</f>
        <v>P</v>
      </c>
      <c r="I8" s="103"/>
      <c r="J8" s="103"/>
      <c r="K8" s="103" t="str">
        <f ca="1">IFERROR(__xludf.DUMMYFUNCTION("""COMPUTED_VALUE"""),"F")</f>
        <v>F</v>
      </c>
      <c r="L8" s="103" t="str">
        <f ca="1">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 ca="1">IFERROR(__xludf.DUMMYFUNCTION("""COMPUTED_VALUE"""),6)</f>
        <v>6</v>
      </c>
      <c r="AH8" s="103">
        <f ca="1">IFERROR(__xludf.DUMMYFUNCTION("""COMPUTED_VALUE"""),7)</f>
        <v>7</v>
      </c>
      <c r="AI8" s="103">
        <f ca="1">IFERROR(__xludf.DUMMYFUNCTION("""COMPUTED_VALUE"""),740)</f>
        <v>740</v>
      </c>
      <c r="AJ8" s="103" t="str">
        <f ca="1">IFERROR(__xludf.DUMMYFUNCTION("""COMPUTED_VALUE"""),"MORS")</f>
        <v>MORS</v>
      </c>
      <c r="AK8" s="103">
        <f ca="1">IFERROR(__xludf.DUMMYFUNCTION("""COMPUTED_VALUE"""),7)</f>
        <v>7</v>
      </c>
      <c r="AL8" s="103"/>
      <c r="AM8" s="103"/>
      <c r="AN8" s="103"/>
      <c r="AO8" s="57" t="str">
        <f ca="1">IFERROR(__xludf.DUMMYFUNCTION("""COMPUTED_VALUE"""),"U")</f>
        <v>U</v>
      </c>
      <c r="AP8" s="103">
        <f ca="1">IFERROR(__xludf.DUMMYFUNCTION("""COMPUTED_VALUE"""),1)</f>
        <v>1</v>
      </c>
    </row>
    <row r="9" spans="1:72">
      <c r="A9" s="103">
        <f ca="1">IFERROR(__xludf.DUMMYFUNCTION("""COMPUTED_VALUE"""),8)</f>
        <v>8</v>
      </c>
      <c r="B9" s="103" t="str">
        <f ca="1">IFERROR(__xludf.DUMMYFUNCTION("""COMPUTED_VALUE"""),"NDS")</f>
        <v>NDS</v>
      </c>
      <c r="C9" s="103" t="str">
        <f ca="1">IFERROR(__xludf.DUMMYFUNCTION("""COMPUTED_VALUE"""),"R")</f>
        <v>R</v>
      </c>
      <c r="D9" s="103">
        <f ca="1">IFERROR(__xludf.DUMMYFUNCTION("""COMPUTED_VALUE"""),172176223)</f>
        <v>172176223</v>
      </c>
      <c r="E9" s="103" t="str">
        <f ca="1">IFERROR(__xludf.DUMMYFUNCTION("""COMPUTED_VALUE"""),"Swainson's Thrush")</f>
        <v>Swainson's Thrush</v>
      </c>
      <c r="F9" s="103" t="str">
        <f ca="1">IFERROR(__xludf.DUMMYFUNCTION("""COMPUTED_VALUE"""),"SWTH")</f>
        <v>SWTH</v>
      </c>
      <c r="G9" s="103">
        <f ca="1">IFERROR(__xludf.DUMMYFUNCTION("""COMPUTED_VALUE"""),5)</f>
        <v>5</v>
      </c>
      <c r="H9" s="103" t="str">
        <f ca="1">IFERROR(__xludf.DUMMYFUNCTION("""COMPUTED_VALUE"""),"P")</f>
        <v>P</v>
      </c>
      <c r="I9" s="103"/>
      <c r="J9" s="103" t="str">
        <f ca="1">IFERROR(__xludf.DUMMYFUNCTION("""COMPUTED_VALUE"""),"FCF")</f>
        <v>FCF</v>
      </c>
      <c r="K9" s="103" t="str">
        <f ca="1">IFERROR(__xludf.DUMMYFUNCTION("""COMPUTED_VALUE"""),"M")</f>
        <v>M</v>
      </c>
      <c r="L9" s="103" t="str">
        <f ca="1">IFERROR(__xludf.DUMMYFUNCTION("""COMPUTED_VALUE"""),"C")</f>
        <v>C</v>
      </c>
      <c r="M9" s="103"/>
      <c r="N9" s="103"/>
      <c r="O9" s="103">
        <f ca="1">IFERROR(__xludf.DUMMYFUNCTION("""COMPUTED_VALUE"""),2)</f>
        <v>2</v>
      </c>
      <c r="P9" s="103">
        <f ca="1">IFERROR(__xludf.DUMMYFUNCTION("""COMPUTED_VALUE"""),0)</f>
        <v>0</v>
      </c>
      <c r="Q9" s="103">
        <f ca="1">IFERROR(__xludf.DUMMYFUNCTION("""COMPUTED_VALUE"""),0)</f>
        <v>0</v>
      </c>
      <c r="R9" s="103">
        <f ca="1">IFERROR(__xludf.DUMMYFUNCTION("""COMPUTED_VALUE"""),0)</f>
        <v>0</v>
      </c>
      <c r="S9" s="103" t="str">
        <f ca="1">IFERROR(__xludf.DUMMYFUNCTION("""COMPUTED_VALUE"""),"N")</f>
        <v>N</v>
      </c>
      <c r="T9" s="103">
        <f ca="1">IFERROR(__xludf.DUMMYFUNCTION("""COMPUTED_VALUE"""),2)</f>
        <v>2</v>
      </c>
      <c r="U9" s="103"/>
      <c r="V9" s="103" t="str">
        <f ca="1">IFERROR(__xludf.DUMMYFUNCTION("""COMPUTED_VALUE"""),"J")</f>
        <v>J</v>
      </c>
      <c r="W9" s="103"/>
      <c r="X9" s="103" t="str">
        <f ca="1">IFERROR(__xludf.DUMMYFUNCTION("""COMPUTED_VALUE"""),"J")</f>
        <v>J</v>
      </c>
      <c r="Y9" s="103"/>
      <c r="Z9" s="103"/>
      <c r="AA9" s="103" t="str">
        <f ca="1">IFERROR(__xludf.DUMMYFUNCTION("""COMPUTED_VALUE"""),"J")</f>
        <v>J</v>
      </c>
      <c r="AB9" s="103"/>
      <c r="AC9" s="103"/>
      <c r="AD9" s="103">
        <f ca="1">IFERROR(__xludf.DUMMYFUNCTION("""COMPUTED_VALUE"""),95)</f>
        <v>95</v>
      </c>
      <c r="AE9" s="103">
        <f ca="1">IFERROR(__xludf.DUMMYFUNCTION("""COMPUTED_VALUE"""),29.5)</f>
        <v>29.5</v>
      </c>
      <c r="AF9" s="103">
        <f ca="1">IFERROR(__xludf.DUMMYFUNCTION("""COMPUTED_VALUE"""),300)</f>
        <v>300</v>
      </c>
      <c r="AG9" s="103">
        <f ca="1">IFERROR(__xludf.DUMMYFUNCTION("""COMPUTED_VALUE"""),6)</f>
        <v>6</v>
      </c>
      <c r="AH9" s="103">
        <f ca="1">IFERROR(__xludf.DUMMYFUNCTION("""COMPUTED_VALUE"""),7)</f>
        <v>7</v>
      </c>
      <c r="AI9" s="103">
        <f ca="1">IFERROR(__xludf.DUMMYFUNCTION("""COMPUTED_VALUE"""),810)</f>
        <v>810</v>
      </c>
      <c r="AJ9" s="103" t="str">
        <f ca="1">IFERROR(__xludf.DUMMYFUNCTION("""COMPUTED_VALUE"""),"MORS")</f>
        <v>MORS</v>
      </c>
      <c r="AK9" s="103">
        <f ca="1">IFERROR(__xludf.DUMMYFUNCTION("""COMPUTED_VALUE"""),10)</f>
        <v>10</v>
      </c>
      <c r="AL9" s="103"/>
      <c r="AM9" s="103">
        <f ca="1">IFERROR(__xludf.DUMMYFUNCTION("""COMPUTED_VALUE"""),2)</f>
        <v>2</v>
      </c>
      <c r="AN9" s="103" t="str">
        <f ca="1">IFERROR(__xludf.DUMMYFUNCTION("""COMPUTED_VALUE"""),"P10 3mm shorter than pcovs")</f>
        <v>P10 3mm shorter than pcovs</v>
      </c>
      <c r="AO9" s="57" t="str">
        <f ca="1">IFERROR(__xludf.DUMMYFUNCTION("""COMPUTED_VALUE"""),"R")</f>
        <v>R</v>
      </c>
      <c r="AP9" s="103">
        <f ca="1">IFERROR(__xludf.DUMMYFUNCTION("""COMPUTED_VALUE"""),1)</f>
        <v>1</v>
      </c>
    </row>
    <row r="10" spans="1:72">
      <c r="A10" s="103">
        <f ca="1">IFERROR(__xludf.DUMMYFUNCTION("""COMPUTED_VALUE"""),9)</f>
        <v>9</v>
      </c>
      <c r="B10" s="103" t="str">
        <f ca="1">IFERROR(__xludf.DUMMYFUNCTION("""COMPUTED_VALUE"""),"NDS")</f>
        <v>NDS</v>
      </c>
      <c r="C10" s="103" t="str">
        <f ca="1">IFERROR(__xludf.DUMMYFUNCTION("""COMPUTED_VALUE"""),"R")</f>
        <v>R</v>
      </c>
      <c r="D10" s="103">
        <f ca="1">IFERROR(__xludf.DUMMYFUNCTION("""COMPUTED_VALUE"""),262091987)</f>
        <v>262091987</v>
      </c>
      <c r="E10" s="103" t="str">
        <f ca="1">IFERROR(__xludf.DUMMYFUNCTION("""COMPUTED_VALUE"""),"Bushtit")</f>
        <v>Bushtit</v>
      </c>
      <c r="F10" s="103" t="str">
        <f ca="1">IFERROR(__xludf.DUMMYFUNCTION("""COMPUTED_VALUE"""),"BUSH")</f>
        <v>BUSH</v>
      </c>
      <c r="G10" s="103">
        <f ca="1">IFERROR(__xludf.DUMMYFUNCTION("""COMPUTED_VALUE"""),1)</f>
        <v>1</v>
      </c>
      <c r="H10" s="103" t="str">
        <f ca="1">IFERROR(__xludf.DUMMYFUNCTION("""COMPUTED_VALUE"""),"B")</f>
        <v>B</v>
      </c>
      <c r="I10" s="103"/>
      <c r="J10" s="103" t="str">
        <f ca="1">IFERROR(__xludf.DUMMYFUNCTION("""COMPUTED_VALUE"""),"UAJ")</f>
        <v>UAJ</v>
      </c>
      <c r="K10" s="103" t="str">
        <f ca="1">IFERROR(__xludf.DUMMYFUNCTION("""COMPUTED_VALUE"""),"F")</f>
        <v>F</v>
      </c>
      <c r="L10" s="103" t="str">
        <f ca="1">IFERROR(__xludf.DUMMYFUNCTION("""COMPUTED_VALUE"""),"E")</f>
        <v>E</v>
      </c>
      <c r="M10" s="103"/>
      <c r="N10" s="103"/>
      <c r="O10" s="103">
        <f ca="1">IFERROR(__xludf.DUMMYFUNCTION("""COMPUTED_VALUE"""),0)</f>
        <v>0</v>
      </c>
      <c r="P10" s="103">
        <f ca="1">IFERROR(__xludf.DUMMYFUNCTION("""COMPUTED_VALUE"""),3)</f>
        <v>3</v>
      </c>
      <c r="Q10" s="103">
        <f ca="1">IFERROR(__xludf.DUMMYFUNCTION("""COMPUTED_VALUE"""),2)</f>
        <v>2</v>
      </c>
      <c r="R10" s="103">
        <f ca="1">IFERROR(__xludf.DUMMYFUNCTION("""COMPUTED_VALUE"""),0)</f>
        <v>0</v>
      </c>
      <c r="S10" s="103" t="str">
        <f ca="1">IFERROR(__xludf.DUMMYFUNCTION("""COMPUTED_VALUE"""),"N")</f>
        <v>N</v>
      </c>
      <c r="T10" s="103">
        <f ca="1">IFERROR(__xludf.DUMMYFUNCTION("""COMPUTED_VALUE"""),2)</f>
        <v>2</v>
      </c>
      <c r="U10" s="103"/>
      <c r="V10" s="103"/>
      <c r="W10" s="103"/>
      <c r="X10" s="103"/>
      <c r="Y10" s="103"/>
      <c r="Z10" s="103"/>
      <c r="AA10" s="103"/>
      <c r="AB10" s="103"/>
      <c r="AC10" s="103"/>
      <c r="AD10" s="103">
        <f ca="1">IFERROR(__xludf.DUMMYFUNCTION("""COMPUTED_VALUE"""),47)</f>
        <v>47</v>
      </c>
      <c r="AE10" s="103">
        <f ca="1">IFERROR(__xludf.DUMMYFUNCTION("""COMPUTED_VALUE"""),5.8)</f>
        <v>5.8</v>
      </c>
      <c r="AF10" s="103">
        <f ca="1">IFERROR(__xludf.DUMMYFUNCTION("""COMPUTED_VALUE"""),300)</f>
        <v>300</v>
      </c>
      <c r="AG10" s="103">
        <f ca="1">IFERROR(__xludf.DUMMYFUNCTION("""COMPUTED_VALUE"""),6)</f>
        <v>6</v>
      </c>
      <c r="AH10" s="103">
        <f ca="1">IFERROR(__xludf.DUMMYFUNCTION("""COMPUTED_VALUE"""),7)</f>
        <v>7</v>
      </c>
      <c r="AI10" s="103">
        <f ca="1">IFERROR(__xludf.DUMMYFUNCTION("""COMPUTED_VALUE"""),810)</f>
        <v>810</v>
      </c>
      <c r="AJ10" s="103" t="str">
        <f ca="1">IFERROR(__xludf.DUMMYFUNCTION("""COMPUTED_VALUE"""),"MORS")</f>
        <v>MORS</v>
      </c>
      <c r="AK10" s="103">
        <f ca="1">IFERROR(__xludf.DUMMYFUNCTION("""COMPUTED_VALUE"""),14)</f>
        <v>14</v>
      </c>
      <c r="AL10" s="103"/>
      <c r="AM10" s="103">
        <f ca="1">IFERROR(__xludf.DUMMYFUNCTION("""COMPUTED_VALUE"""),3)</f>
        <v>3</v>
      </c>
      <c r="AN10" s="103" t="str">
        <f ca="1">IFERROR(__xludf.DUMMYFUNCTION("""COMPUTED_VALUE"""),"P10 9mm longer than pcovs")</f>
        <v>P10 9mm longer than pcovs</v>
      </c>
      <c r="AO10" s="57" t="str">
        <f ca="1">IFERROR(__xludf.DUMMYFUNCTION("""COMPUTED_VALUE"""),"R")</f>
        <v>R</v>
      </c>
      <c r="AP10" s="103">
        <f ca="1">IFERROR(__xludf.DUMMYFUNCTION("""COMPUTED_VALUE"""),1)</f>
        <v>1</v>
      </c>
    </row>
    <row r="11" spans="1:72">
      <c r="A11" s="103">
        <f ca="1">IFERROR(__xludf.DUMMYFUNCTION("""COMPUTED_VALUE"""),10)</f>
        <v>10</v>
      </c>
      <c r="B11" s="103" t="str">
        <f ca="1">IFERROR(__xludf.DUMMYFUNCTION("""COMPUTED_VALUE"""),"NDS")</f>
        <v>NDS</v>
      </c>
      <c r="C11" s="103" t="str">
        <f ca="1">IFERROR(__xludf.DUMMYFUNCTION("""COMPUTED_VALUE"""),"N")</f>
        <v>N</v>
      </c>
      <c r="D11" s="103">
        <f ca="1">IFERROR(__xludf.DUMMYFUNCTION("""COMPUTED_VALUE"""),281191223)</f>
        <v>281191223</v>
      </c>
      <c r="E11" s="103" t="str">
        <f ca="1">IFERROR(__xludf.DUMMYFUNCTION("""COMPUTED_VALUE"""),"Oregon Junco")</f>
        <v>Oregon Junco</v>
      </c>
      <c r="F11" s="103" t="str">
        <f ca="1">IFERROR(__xludf.DUMMYFUNCTION("""COMPUTED_VALUE"""),"ORJU")</f>
        <v>ORJU</v>
      </c>
      <c r="G11" s="103">
        <f ca="1">IFERROR(__xludf.DUMMYFUNCTION("""COMPUTED_VALUE"""),2)</f>
        <v>2</v>
      </c>
      <c r="H11" s="103" t="str">
        <f ca="1">IFERROR(__xludf.DUMMYFUNCTION("""COMPUTED_VALUE"""),"J")</f>
        <v>J</v>
      </c>
      <c r="I11" s="103"/>
      <c r="J11" s="103" t="str">
        <f ca="1">IFERROR(__xludf.DUMMYFUNCTION("""COMPUTED_VALUE"""),"FPJ")</f>
        <v>FPJ</v>
      </c>
      <c r="K11" s="103" t="str">
        <f ca="1">IFERROR(__xludf.DUMMYFUNCTION("""COMPUTED_VALUE"""),"U")</f>
        <v>U</v>
      </c>
      <c r="L11" s="103"/>
      <c r="M11" s="103"/>
      <c r="N11" s="103"/>
      <c r="O11" s="103">
        <f ca="1">IFERROR(__xludf.DUMMYFUNCTION("""COMPUTED_VALUE"""),0)</f>
        <v>0</v>
      </c>
      <c r="P11" s="103">
        <f ca="1">IFERROR(__xludf.DUMMYFUNCTION("""COMPUTED_VALUE"""),0)</f>
        <v>0</v>
      </c>
      <c r="Q11" s="103">
        <f ca="1">IFERROR(__xludf.DUMMYFUNCTION("""COMPUTED_VALUE"""),3)</f>
        <v>3</v>
      </c>
      <c r="R11" s="103">
        <f ca="1">IFERROR(__xludf.DUMMYFUNCTION("""COMPUTED_VALUE"""),2)</f>
        <v>2</v>
      </c>
      <c r="S11" s="103" t="str">
        <f ca="1">IFERROR(__xludf.DUMMYFUNCTION("""COMPUTED_VALUE"""),"J")</f>
        <v>J</v>
      </c>
      <c r="T11" s="103">
        <f ca="1">IFERROR(__xludf.DUMMYFUNCTION("""COMPUTED_VALUE"""),0)</f>
        <v>0</v>
      </c>
      <c r="U11" s="103">
        <f ca="1">IFERROR(__xludf.DUMMYFUNCTION("""COMPUTED_VALUE"""),3)</f>
        <v>3</v>
      </c>
      <c r="V11" s="103" t="str">
        <f ca="1">IFERROR(__xludf.DUMMYFUNCTION("""COMPUTED_VALUE"""),"J")</f>
        <v>J</v>
      </c>
      <c r="W11" s="103" t="str">
        <f ca="1">IFERROR(__xludf.DUMMYFUNCTION("""COMPUTED_VALUE"""),"J")</f>
        <v>J</v>
      </c>
      <c r="X11" s="103"/>
      <c r="Y11" s="103"/>
      <c r="Z11" s="103"/>
      <c r="AA11" s="103" t="str">
        <f ca="1">IFERROR(__xludf.DUMMYFUNCTION("""COMPUTED_VALUE"""),"J")</f>
        <v>J</v>
      </c>
      <c r="AB11" s="103"/>
      <c r="AC11" s="103"/>
      <c r="AD11" s="103">
        <f ca="1">IFERROR(__xludf.DUMMYFUNCTION("""COMPUTED_VALUE"""),64)</f>
        <v>64</v>
      </c>
      <c r="AE11" s="103">
        <f ca="1">IFERROR(__xludf.DUMMYFUNCTION("""COMPUTED_VALUE"""),17.3)</f>
        <v>17.3</v>
      </c>
      <c r="AF11" s="103">
        <f ca="1">IFERROR(__xludf.DUMMYFUNCTION("""COMPUTED_VALUE"""),300)</f>
        <v>300</v>
      </c>
      <c r="AG11" s="103">
        <f ca="1">IFERROR(__xludf.DUMMYFUNCTION("""COMPUTED_VALUE"""),6)</f>
        <v>6</v>
      </c>
      <c r="AH11" s="103">
        <f ca="1">IFERROR(__xludf.DUMMYFUNCTION("""COMPUTED_VALUE"""),7)</f>
        <v>7</v>
      </c>
      <c r="AI11" s="103">
        <f ca="1">IFERROR(__xludf.DUMMYFUNCTION("""COMPUTED_VALUE"""),850)</f>
        <v>850</v>
      </c>
      <c r="AJ11" s="103" t="str">
        <f ca="1">IFERROR(__xludf.DUMMYFUNCTION("""COMPUTED_VALUE"""),"MORS")</f>
        <v>MORS</v>
      </c>
      <c r="AK11" s="103">
        <f ca="1">IFERROR(__xludf.DUMMYFUNCTION("""COMPUTED_VALUE"""),15)</f>
        <v>15</v>
      </c>
      <c r="AL11" s="103"/>
      <c r="AM11" s="103"/>
      <c r="AN11" s="103"/>
      <c r="AO11" s="57">
        <f ca="1">IFERROR(__xludf.DUMMYFUNCTION("""COMPUTED_VALUE"""),1)</f>
        <v>1</v>
      </c>
      <c r="AP11" s="103">
        <f ca="1">IFERROR(__xludf.DUMMYFUNCTION("""COMPUTED_VALUE"""),1)</f>
        <v>1</v>
      </c>
    </row>
    <row r="12" spans="1:72">
      <c r="A12" s="103">
        <f ca="1">IFERROR(__xludf.DUMMYFUNCTION("""COMPUTED_VALUE"""),11)</f>
        <v>11</v>
      </c>
      <c r="B12" s="103" t="str">
        <f ca="1">IFERROR(__xludf.DUMMYFUNCTION("""COMPUTED_VALUE"""),"NDS")</f>
        <v>NDS</v>
      </c>
      <c r="C12" s="103" t="str">
        <f ca="1">IFERROR(__xludf.DUMMYFUNCTION("""COMPUTED_VALUE"""),"R")</f>
        <v>R</v>
      </c>
      <c r="D12" s="103">
        <f ca="1">IFERROR(__xludf.DUMMYFUNCTION("""COMPUTED_VALUE"""),283105238)</f>
        <v>283105238</v>
      </c>
      <c r="E12" s="103" t="str">
        <f ca="1">IFERROR(__xludf.DUMMYFUNCTION("""COMPUTED_VALUE"""),"Song Sparrow")</f>
        <v>Song Sparrow</v>
      </c>
      <c r="F12" s="103" t="str">
        <f ca="1">IFERROR(__xludf.DUMMYFUNCTION("""COMPUTED_VALUE"""),"SOSP")</f>
        <v>SOSP</v>
      </c>
      <c r="G12" s="103">
        <f ca="1">IFERROR(__xludf.DUMMYFUNCTION("""COMPUTED_VALUE"""),1)</f>
        <v>1</v>
      </c>
      <c r="H12" s="103" t="str">
        <f ca="1">IFERROR(__xludf.DUMMYFUNCTION("""COMPUTED_VALUE"""),"P")</f>
        <v>P</v>
      </c>
      <c r="I12" s="103"/>
      <c r="J12" s="103" t="str">
        <f ca="1">IFERROR(__xludf.DUMMYFUNCTION("""COMPUTED_VALUE"""),"UAJ")</f>
        <v>UAJ</v>
      </c>
      <c r="K12" s="103" t="str">
        <f ca="1">IFERROR(__xludf.DUMMYFUNCTION("""COMPUTED_VALUE"""),"M")</f>
        <v>M</v>
      </c>
      <c r="L12" s="103" t="str">
        <f ca="1">IFERROR(__xludf.DUMMYFUNCTION("""COMPUTED_VALUE"""),"C")</f>
        <v>C</v>
      </c>
      <c r="M12" s="103"/>
      <c r="N12" s="103"/>
      <c r="O12" s="103">
        <f ca="1">IFERROR(__xludf.DUMMYFUNCTION("""COMPUTED_VALUE"""),3)</f>
        <v>3</v>
      </c>
      <c r="P12" s="103">
        <f ca="1">IFERROR(__xludf.DUMMYFUNCTION("""COMPUTED_VALUE"""),0)</f>
        <v>0</v>
      </c>
      <c r="Q12" s="103">
        <f ca="1">IFERROR(__xludf.DUMMYFUNCTION("""COMPUTED_VALUE"""),0)</f>
        <v>0</v>
      </c>
      <c r="R12" s="103">
        <f ca="1">IFERROR(__xludf.DUMMYFUNCTION("""COMPUTED_VALUE"""),0)</f>
        <v>0</v>
      </c>
      <c r="S12" s="103" t="str">
        <f ca="1">IFERROR(__xludf.DUMMYFUNCTION("""COMPUTED_VALUE"""),"N")</f>
        <v>N</v>
      </c>
      <c r="T12" s="103">
        <f ca="1">IFERROR(__xludf.DUMMYFUNCTION("""COMPUTED_VALUE"""),3)</f>
        <v>3</v>
      </c>
      <c r="U12" s="103"/>
      <c r="V12" s="103"/>
      <c r="W12" s="103"/>
      <c r="X12" s="103"/>
      <c r="Y12" s="103"/>
      <c r="Z12" s="103"/>
      <c r="AA12" s="103"/>
      <c r="AB12" s="103"/>
      <c r="AC12" s="103"/>
      <c r="AD12" s="103">
        <f ca="1">IFERROR(__xludf.DUMMYFUNCTION("""COMPUTED_VALUE"""),65)</f>
        <v>65</v>
      </c>
      <c r="AE12" s="103">
        <f ca="1">IFERROR(__xludf.DUMMYFUNCTION("""COMPUTED_VALUE"""),24.2)</f>
        <v>24.2</v>
      </c>
      <c r="AF12" s="103">
        <f ca="1">IFERROR(__xludf.DUMMYFUNCTION("""COMPUTED_VALUE"""),300)</f>
        <v>300</v>
      </c>
      <c r="AG12" s="103">
        <f ca="1">IFERROR(__xludf.DUMMYFUNCTION("""COMPUTED_VALUE"""),6)</f>
        <v>6</v>
      </c>
      <c r="AH12" s="103">
        <f ca="1">IFERROR(__xludf.DUMMYFUNCTION("""COMPUTED_VALUE"""),7)</f>
        <v>7</v>
      </c>
      <c r="AI12" s="103">
        <f ca="1">IFERROR(__xludf.DUMMYFUNCTION("""COMPUTED_VALUE"""),10)</f>
        <v>10</v>
      </c>
      <c r="AJ12" s="103" t="str">
        <f ca="1">IFERROR(__xludf.DUMMYFUNCTION("""COMPUTED_VALUE"""),"MORS")</f>
        <v>MORS</v>
      </c>
      <c r="AK12" s="103">
        <f ca="1">IFERROR(__xludf.DUMMYFUNCTION("""COMPUTED_VALUE"""),8)</f>
        <v>8</v>
      </c>
      <c r="AL12" s="103"/>
      <c r="AM12" s="103">
        <f ca="1">IFERROR(__xludf.DUMMYFUNCTION("""COMPUTED_VALUE"""),4)</f>
        <v>4</v>
      </c>
      <c r="AN12" s="103" t="str">
        <f ca="1">IFERROR(__xludf.DUMMYFUNCTION("""COMPUTED_VALUE"""),"Wing tips very worn. Actual wg chord may be &gt; 65")</f>
        <v>Wing tips very worn. Actual wg chord may be &gt; 65</v>
      </c>
      <c r="AO12" s="57" t="str">
        <f ca="1">IFERROR(__xludf.DUMMYFUNCTION("""COMPUTED_VALUE"""),"R")</f>
        <v>R</v>
      </c>
      <c r="AP12" s="103">
        <f ca="1">IFERROR(__xludf.DUMMYFUNCTION("""COMPUTED_VALUE"""),1)</f>
        <v>1</v>
      </c>
    </row>
    <row r="13" spans="1:72">
      <c r="A13" s="103">
        <f ca="1">IFERROR(__xludf.DUMMYFUNCTION("""COMPUTED_VALUE"""),12)</f>
        <v>12</v>
      </c>
      <c r="B13" s="103" t="str">
        <f ca="1">IFERROR(__xludf.DUMMYFUNCTION("""COMPUTED_VALUE"""),"NDS")</f>
        <v>NDS</v>
      </c>
      <c r="C13" s="103" t="str">
        <f ca="1">IFERROR(__xludf.DUMMYFUNCTION("""COMPUTED_VALUE"""),"N")</f>
        <v>N</v>
      </c>
      <c r="D13" s="103">
        <f ca="1">IFERROR(__xludf.DUMMYFUNCTION("""COMPUTED_VALUE"""),230196608)</f>
        <v>230196608</v>
      </c>
      <c r="E13" s="103" t="str">
        <f ca="1">IFERROR(__xludf.DUMMYFUNCTION("""COMPUTED_VALUE"""),"Spotted Towhee")</f>
        <v>Spotted Towhee</v>
      </c>
      <c r="F13" s="103" t="str">
        <f ca="1">IFERROR(__xludf.DUMMYFUNCTION("""COMPUTED_VALUE"""),"SPTO")</f>
        <v>SPTO</v>
      </c>
      <c r="G13" s="103">
        <f ca="1">IFERROR(__xludf.DUMMYFUNCTION("""COMPUTED_VALUE"""),5)</f>
        <v>5</v>
      </c>
      <c r="H13" s="103" t="str">
        <f ca="1">IFERROR(__xludf.DUMMYFUNCTION("""COMPUTED_VALUE"""),"L")</f>
        <v>L</v>
      </c>
      <c r="I13" s="103"/>
      <c r="J13" s="103" t="str">
        <f ca="1">IFERROR(__xludf.DUMMYFUNCTION("""COMPUTED_VALUE"""),"FCF")</f>
        <v>FCF</v>
      </c>
      <c r="K13" s="103" t="str">
        <f ca="1">IFERROR(__xludf.DUMMYFUNCTION("""COMPUTED_VALUE"""),"M")</f>
        <v>M</v>
      </c>
      <c r="L13" s="103" t="str">
        <f ca="1">IFERROR(__xludf.DUMMYFUNCTION("""COMPUTED_VALUE"""),"P")</f>
        <v>P</v>
      </c>
      <c r="M13" s="103"/>
      <c r="N13" s="103"/>
      <c r="O13" s="103">
        <f ca="1">IFERROR(__xludf.DUMMYFUNCTION("""COMPUTED_VALUE"""),3)</f>
        <v>3</v>
      </c>
      <c r="P13" s="103">
        <f ca="1">IFERROR(__xludf.DUMMYFUNCTION("""COMPUTED_VALUE"""),0)</f>
        <v>0</v>
      </c>
      <c r="Q13" s="103">
        <f ca="1">IFERROR(__xludf.DUMMYFUNCTION("""COMPUTED_VALUE"""),3)</f>
        <v>3</v>
      </c>
      <c r="R13" s="103">
        <f ca="1">IFERROR(__xludf.DUMMYFUNCTION("""COMPUTED_VALUE"""),0)</f>
        <v>0</v>
      </c>
      <c r="S13" s="103" t="str">
        <f ca="1">IFERROR(__xludf.DUMMYFUNCTION("""COMPUTED_VALUE"""),"N")</f>
        <v>N</v>
      </c>
      <c r="T13" s="103">
        <f ca="1">IFERROR(__xludf.DUMMYFUNCTION("""COMPUTED_VALUE"""),2)</f>
        <v>2</v>
      </c>
      <c r="U13" s="103"/>
      <c r="V13" s="103" t="str">
        <f ca="1">IFERROR(__xludf.DUMMYFUNCTION("""COMPUTED_VALUE"""),"J")</f>
        <v>J</v>
      </c>
      <c r="W13" s="103" t="str">
        <f ca="1">IFERROR(__xludf.DUMMYFUNCTION("""COMPUTED_VALUE"""),"F")</f>
        <v>F</v>
      </c>
      <c r="X13" s="103"/>
      <c r="Y13" s="103"/>
      <c r="Z13" s="103"/>
      <c r="AA13" s="103" t="str">
        <f ca="1">IFERROR(__xludf.DUMMYFUNCTION("""COMPUTED_VALUE"""),"J")</f>
        <v>J</v>
      </c>
      <c r="AB13" s="103"/>
      <c r="AC13" s="103"/>
      <c r="AD13" s="103">
        <f ca="1">IFERROR(__xludf.DUMMYFUNCTION("""COMPUTED_VALUE"""),81)</f>
        <v>81</v>
      </c>
      <c r="AE13" s="103">
        <f ca="1">IFERROR(__xludf.DUMMYFUNCTION("""COMPUTED_VALUE"""),40.6)</f>
        <v>40.6</v>
      </c>
      <c r="AF13" s="103">
        <f ca="1">IFERROR(__xludf.DUMMYFUNCTION("""COMPUTED_VALUE"""),300)</f>
        <v>300</v>
      </c>
      <c r="AG13" s="103">
        <f ca="1">IFERROR(__xludf.DUMMYFUNCTION("""COMPUTED_VALUE"""),6)</f>
        <v>6</v>
      </c>
      <c r="AH13" s="103">
        <f ca="1">IFERROR(__xludf.DUMMYFUNCTION("""COMPUTED_VALUE"""),7)</f>
        <v>7</v>
      </c>
      <c r="AI13" s="103">
        <f ca="1">IFERROR(__xludf.DUMMYFUNCTION("""COMPUTED_VALUE"""),1030)</f>
        <v>1030</v>
      </c>
      <c r="AJ13" s="103" t="str">
        <f ca="1">IFERROR(__xludf.DUMMYFUNCTION("""COMPUTED_VALUE"""),"MORS")</f>
        <v>MORS</v>
      </c>
      <c r="AK13" s="103">
        <f ca="1">IFERROR(__xludf.DUMMYFUNCTION("""COMPUTED_VALUE"""),2)</f>
        <v>2</v>
      </c>
      <c r="AL13" s="103"/>
      <c r="AM13" s="103">
        <f ca="1">IFERROR(__xludf.DUMMYFUNCTION("""COMPUTED_VALUE"""),5)</f>
        <v>5</v>
      </c>
      <c r="AN13" s="103" t="str">
        <f ca="1">IFERROR(__xludf.DUMMYFUNCTION("""COMPUTED_VALUE"""),"No white on R4s")</f>
        <v>No white on R4s</v>
      </c>
      <c r="AO13" s="57" t="str">
        <f ca="1">IFERROR(__xludf.DUMMYFUNCTION("""COMPUTED_VALUE"""),"1A")</f>
        <v>1A</v>
      </c>
      <c r="AP13" s="103">
        <f ca="1">IFERROR(__xludf.DUMMYFUNCTION("""COMPUTED_VALUE"""),1)</f>
        <v>1</v>
      </c>
    </row>
    <row r="14" spans="1:72">
      <c r="A14" s="103">
        <f ca="1">IFERROR(__xludf.DUMMYFUNCTION("""COMPUTED_VALUE"""),13)</f>
        <v>13</v>
      </c>
      <c r="B14" s="103" t="str">
        <f ca="1">IFERROR(__xludf.DUMMYFUNCTION("""COMPUTED_VALUE"""),"NDS")</f>
        <v>NDS</v>
      </c>
      <c r="C14" s="103" t="str">
        <f ca="1">IFERROR(__xludf.DUMMYFUNCTION("""COMPUTED_VALUE"""),"N")</f>
        <v>N</v>
      </c>
      <c r="D14" s="103">
        <f ca="1">IFERROR(__xludf.DUMMYFUNCTION("""COMPUTED_VALUE"""),172176234)</f>
        <v>172176234</v>
      </c>
      <c r="E14" s="103" t="str">
        <f ca="1">IFERROR(__xludf.DUMMYFUNCTION("""COMPUTED_VALUE"""),"Song Sparrow")</f>
        <v>Song Sparrow</v>
      </c>
      <c r="F14" s="103" t="str">
        <f ca="1">IFERROR(__xludf.DUMMYFUNCTION("""COMPUTED_VALUE"""),"SOSP")</f>
        <v>SOSP</v>
      </c>
      <c r="G14" s="103">
        <f ca="1">IFERROR(__xludf.DUMMYFUNCTION("""COMPUTED_VALUE"""),1)</f>
        <v>1</v>
      </c>
      <c r="H14" s="103" t="str">
        <f ca="1">IFERROR(__xludf.DUMMYFUNCTION("""COMPUTED_VALUE"""),"P")</f>
        <v>P</v>
      </c>
      <c r="I14" s="103"/>
      <c r="J14" s="103" t="str">
        <f ca="1">IFERROR(__xludf.DUMMYFUNCTION("""COMPUTED_VALUE"""),"UAJ")</f>
        <v>UAJ</v>
      </c>
      <c r="K14" s="103" t="str">
        <f ca="1">IFERROR(__xludf.DUMMYFUNCTION("""COMPUTED_VALUE"""),"F")</f>
        <v>F</v>
      </c>
      <c r="L14" s="103" t="str">
        <f ca="1">IFERROR(__xludf.DUMMYFUNCTION("""COMPUTED_VALUE"""),"B")</f>
        <v>B</v>
      </c>
      <c r="M14" s="103"/>
      <c r="N14" s="103"/>
      <c r="O14" s="103">
        <f ca="1">IFERROR(__xludf.DUMMYFUNCTION("""COMPUTED_VALUE"""),0)</f>
        <v>0</v>
      </c>
      <c r="P14" s="103">
        <f ca="1">IFERROR(__xludf.DUMMYFUNCTION("""COMPUTED_VALUE"""),4)</f>
        <v>4</v>
      </c>
      <c r="Q14" s="103">
        <f ca="1">IFERROR(__xludf.DUMMYFUNCTION("""COMPUTED_VALUE"""),2)</f>
        <v>2</v>
      </c>
      <c r="R14" s="103">
        <f ca="1">IFERROR(__xludf.DUMMYFUNCTION("""COMPUTED_VALUE"""),0)</f>
        <v>0</v>
      </c>
      <c r="S14" s="103" t="str">
        <f ca="1">IFERROR(__xludf.DUMMYFUNCTION("""COMPUTED_VALUE"""),"N")</f>
        <v>N</v>
      </c>
      <c r="T14" s="103">
        <f ca="1">IFERROR(__xludf.DUMMYFUNCTION("""COMPUTED_VALUE"""),3)</f>
        <v>3</v>
      </c>
      <c r="U14" s="103"/>
      <c r="V14" s="103"/>
      <c r="W14" s="103"/>
      <c r="X14" s="103"/>
      <c r="Y14" s="103"/>
      <c r="Z14" s="103"/>
      <c r="AA14" s="103"/>
      <c r="AB14" s="103"/>
      <c r="AC14" s="103"/>
      <c r="AD14" s="103">
        <f ca="1">IFERROR(__xludf.DUMMYFUNCTION("""COMPUTED_VALUE"""),63)</f>
        <v>63</v>
      </c>
      <c r="AE14" s="103">
        <f ca="1">IFERROR(__xludf.DUMMYFUNCTION("""COMPUTED_VALUE"""),22)</f>
        <v>22</v>
      </c>
      <c r="AF14" s="103">
        <f ca="1">IFERROR(__xludf.DUMMYFUNCTION("""COMPUTED_VALUE"""),300)</f>
        <v>300</v>
      </c>
      <c r="AG14" s="103">
        <f ca="1">IFERROR(__xludf.DUMMYFUNCTION("""COMPUTED_VALUE"""),6)</f>
        <v>6</v>
      </c>
      <c r="AH14" s="103">
        <f ca="1">IFERROR(__xludf.DUMMYFUNCTION("""COMPUTED_VALUE"""),7)</f>
        <v>7</v>
      </c>
      <c r="AI14" s="103">
        <f ca="1">IFERROR(__xludf.DUMMYFUNCTION("""COMPUTED_VALUE"""),1030)</f>
        <v>1030</v>
      </c>
      <c r="AJ14" s="103" t="str">
        <f ca="1">IFERROR(__xludf.DUMMYFUNCTION("""COMPUTED_VALUE"""),"MORS")</f>
        <v>MORS</v>
      </c>
      <c r="AK14" s="103">
        <f ca="1">IFERROR(__xludf.DUMMYFUNCTION("""COMPUTED_VALUE"""),8)</f>
        <v>8</v>
      </c>
      <c r="AL14" s="103"/>
      <c r="AM14" s="103"/>
      <c r="AN14" s="103"/>
      <c r="AO14" s="57" t="str">
        <f ca="1">IFERROR(__xludf.DUMMYFUNCTION("""COMPUTED_VALUE"""),"1B")</f>
        <v>1B</v>
      </c>
      <c r="AP14" s="103">
        <f ca="1">IFERROR(__xludf.DUMMYFUNCTION("""COMPUTED_VALUE"""),1)</f>
        <v>1</v>
      </c>
    </row>
    <row r="15" spans="1:72">
      <c r="A15" s="103">
        <f ca="1">IFERROR(__xludf.DUMMYFUNCTION("""COMPUTED_VALUE"""),14)</f>
        <v>14</v>
      </c>
      <c r="B15" s="103" t="str">
        <f ca="1">IFERROR(__xludf.DUMMYFUNCTION("""COMPUTED_VALUE"""),"NDS")</f>
        <v>NDS</v>
      </c>
      <c r="C15" s="103" t="str">
        <f ca="1">IFERROR(__xludf.DUMMYFUNCTION("""COMPUTED_VALUE"""),"N")</f>
        <v>N</v>
      </c>
      <c r="D15" s="103">
        <f ca="1">IFERROR(__xludf.DUMMYFUNCTION("""COMPUTED_VALUE"""),135291869)</f>
        <v>135291869</v>
      </c>
      <c r="E15" s="103" t="str">
        <f ca="1">IFERROR(__xludf.DUMMYFUNCTION("""COMPUTED_VALUE"""),"Spotted Towhee")</f>
        <v>Spotted Towhee</v>
      </c>
      <c r="F15" s="103" t="str">
        <f ca="1">IFERROR(__xludf.DUMMYFUNCTION("""COMPUTED_VALUE"""),"SPTO")</f>
        <v>SPTO</v>
      </c>
      <c r="G15" s="103">
        <f ca="1">IFERROR(__xludf.DUMMYFUNCTION("""COMPUTED_VALUE"""),6)</f>
        <v>6</v>
      </c>
      <c r="H15" s="103" t="str">
        <f ca="1">IFERROR(__xludf.DUMMYFUNCTION("""COMPUTED_VALUE"""),"P")</f>
        <v>P</v>
      </c>
      <c r="I15" s="103"/>
      <c r="J15" s="103" t="str">
        <f ca="1">IFERROR(__xludf.DUMMYFUNCTION("""COMPUTED_VALUE"""),"DCB")</f>
        <v>DCB</v>
      </c>
      <c r="K15" s="103" t="str">
        <f ca="1">IFERROR(__xludf.DUMMYFUNCTION("""COMPUTED_VALUE"""),"M")</f>
        <v>M</v>
      </c>
      <c r="L15" s="103" t="str">
        <f ca="1">IFERROR(__xludf.DUMMYFUNCTION("""COMPUTED_VALUE"""),"P")</f>
        <v>P</v>
      </c>
      <c r="M15" s="103"/>
      <c r="N15" s="103"/>
      <c r="O15" s="103">
        <f ca="1">IFERROR(__xludf.DUMMYFUNCTION("""COMPUTED_VALUE"""),3)</f>
        <v>3</v>
      </c>
      <c r="P15" s="103">
        <f ca="1">IFERROR(__xludf.DUMMYFUNCTION("""COMPUTED_VALUE"""),0)</f>
        <v>0</v>
      </c>
      <c r="Q15" s="103">
        <f ca="1">IFERROR(__xludf.DUMMYFUNCTION("""COMPUTED_VALUE"""),1)</f>
        <v>1</v>
      </c>
      <c r="R15" s="103">
        <f ca="1">IFERROR(__xludf.DUMMYFUNCTION("""COMPUTED_VALUE"""),0)</f>
        <v>0</v>
      </c>
      <c r="S15" s="103" t="str">
        <f ca="1">IFERROR(__xludf.DUMMYFUNCTION("""COMPUTED_VALUE"""),"N")</f>
        <v>N</v>
      </c>
      <c r="T15" s="103">
        <f ca="1">IFERROR(__xludf.DUMMYFUNCTION("""COMPUTED_VALUE"""),2)</f>
        <v>2</v>
      </c>
      <c r="U15" s="103"/>
      <c r="V15" s="103" t="str">
        <f ca="1">IFERROR(__xludf.DUMMYFUNCTION("""COMPUTED_VALUE"""),"B")</f>
        <v>B</v>
      </c>
      <c r="W15" s="103" t="str">
        <f ca="1">IFERROR(__xludf.DUMMYFUNCTION("""COMPUTED_VALUE"""),"B")</f>
        <v>B</v>
      </c>
      <c r="X15" s="103"/>
      <c r="Y15" s="103"/>
      <c r="Z15" s="103"/>
      <c r="AA15" s="103"/>
      <c r="AB15" s="103"/>
      <c r="AC15" s="103"/>
      <c r="AD15" s="103">
        <f ca="1">IFERROR(__xludf.DUMMYFUNCTION("""COMPUTED_VALUE"""),82)</f>
        <v>82</v>
      </c>
      <c r="AE15" s="103">
        <f ca="1">IFERROR(__xludf.DUMMYFUNCTION("""COMPUTED_VALUE"""),42.1)</f>
        <v>42.1</v>
      </c>
      <c r="AF15" s="103">
        <f ca="1">IFERROR(__xludf.DUMMYFUNCTION("""COMPUTED_VALUE"""),300)</f>
        <v>300</v>
      </c>
      <c r="AG15" s="103">
        <f ca="1">IFERROR(__xludf.DUMMYFUNCTION("""COMPUTED_VALUE"""),6)</f>
        <v>6</v>
      </c>
      <c r="AH15" s="103">
        <f ca="1">IFERROR(__xludf.DUMMYFUNCTION("""COMPUTED_VALUE"""),7)</f>
        <v>7</v>
      </c>
      <c r="AI15" s="103">
        <f ca="1">IFERROR(__xludf.DUMMYFUNCTION("""COMPUTED_VALUE"""),11)</f>
        <v>11</v>
      </c>
      <c r="AJ15" s="103" t="str">
        <f ca="1">IFERROR(__xludf.DUMMYFUNCTION("""COMPUTED_VALUE"""),"MORS")</f>
        <v>MORS</v>
      </c>
      <c r="AK15" s="103">
        <f ca="1">IFERROR(__xludf.DUMMYFUNCTION("""COMPUTED_VALUE"""),6)</f>
        <v>6</v>
      </c>
      <c r="AL15" s="103"/>
      <c r="AM15" s="103"/>
      <c r="AN15" s="103"/>
      <c r="AO15" s="57">
        <f ca="1">IFERROR(__xludf.DUMMYFUNCTION("""COMPUTED_VALUE"""),2)</f>
        <v>2</v>
      </c>
      <c r="AP15" s="103">
        <f ca="1">IFERROR(__xludf.DUMMYFUNCTION("""COMPUTED_VALUE"""),1)</f>
        <v>1</v>
      </c>
    </row>
    <row r="16" spans="1:72">
      <c r="A16" s="103">
        <f ca="1">IFERROR(__xludf.DUMMYFUNCTION("""COMPUTED_VALUE"""),15)</f>
        <v>15</v>
      </c>
      <c r="B16" s="103" t="str">
        <f ca="1">IFERROR(__xludf.DUMMYFUNCTION("""COMPUTED_VALUE"""),"NDS")</f>
        <v>NDS</v>
      </c>
      <c r="C16" s="103" t="str">
        <f ca="1">IFERROR(__xludf.DUMMYFUNCTION("""COMPUTED_VALUE"""),"N")</f>
        <v>N</v>
      </c>
      <c r="D16" s="103">
        <f ca="1">IFERROR(__xludf.DUMMYFUNCTION("""COMPUTED_VALUE"""),288029938)</f>
        <v>288029938</v>
      </c>
      <c r="E16" s="103" t="str">
        <f ca="1">IFERROR(__xludf.DUMMYFUNCTION("""COMPUTED_VALUE"""),"Chestnut-backed Chickadee")</f>
        <v>Chestnut-backed Chickadee</v>
      </c>
      <c r="F16" s="103" t="str">
        <f ca="1">IFERROR(__xludf.DUMMYFUNCTION("""COMPUTED_VALUE"""),"CBCH")</f>
        <v>CBCH</v>
      </c>
      <c r="G16" s="103">
        <f ca="1">IFERROR(__xludf.DUMMYFUNCTION("""COMPUTED_VALUE"""),1)</f>
        <v>1</v>
      </c>
      <c r="H16" s="103"/>
      <c r="I16" s="103"/>
      <c r="J16" s="103" t="str">
        <f ca="1">IFERROR(__xludf.DUMMYFUNCTION("""COMPUTED_VALUE"""),"UPB")</f>
        <v>UPB</v>
      </c>
      <c r="K16" s="103" t="str">
        <f ca="1">IFERROR(__xludf.DUMMYFUNCTION("""COMPUTED_VALUE"""),"U")</f>
        <v>U</v>
      </c>
      <c r="L16" s="103"/>
      <c r="M16" s="103"/>
      <c r="N16" s="103"/>
      <c r="O16" s="103">
        <f ca="1">IFERROR(__xludf.DUMMYFUNCTION("""COMPUTED_VALUE"""),0)</f>
        <v>0</v>
      </c>
      <c r="P16" s="103">
        <f ca="1">IFERROR(__xludf.DUMMYFUNCTION("""COMPUTED_VALUE"""),0)</f>
        <v>0</v>
      </c>
      <c r="Q16" s="103">
        <f ca="1">IFERROR(__xludf.DUMMYFUNCTION("""COMPUTED_VALUE"""),2)</f>
        <v>2</v>
      </c>
      <c r="R16" s="103">
        <f ca="1">IFERROR(__xludf.DUMMYFUNCTION("""COMPUTED_VALUE"""),1)</f>
        <v>1</v>
      </c>
      <c r="S16" s="103" t="str">
        <f ca="1">IFERROR(__xludf.DUMMYFUNCTION("""COMPUTED_VALUE"""),"S")</f>
        <v>S</v>
      </c>
      <c r="T16" s="103">
        <f ca="1">IFERROR(__xludf.DUMMYFUNCTION("""COMPUTED_VALUE"""),2)</f>
        <v>2</v>
      </c>
      <c r="U16" s="103"/>
      <c r="V16" s="103"/>
      <c r="W16" s="103"/>
      <c r="X16" s="103"/>
      <c r="Y16" s="103"/>
      <c r="Z16" s="103"/>
      <c r="AA16" s="103"/>
      <c r="AB16" s="103"/>
      <c r="AC16" s="103"/>
      <c r="AD16" s="103">
        <f ca="1">IFERROR(__xludf.DUMMYFUNCTION("""COMPUTED_VALUE"""),58)</f>
        <v>58</v>
      </c>
      <c r="AE16" s="103">
        <f ca="1">IFERROR(__xludf.DUMMYFUNCTION("""COMPUTED_VALUE"""),10.7)</f>
        <v>10.7</v>
      </c>
      <c r="AF16" s="103">
        <f ca="1">IFERROR(__xludf.DUMMYFUNCTION("""COMPUTED_VALUE"""),300)</f>
        <v>300</v>
      </c>
      <c r="AG16" s="103">
        <f ca="1">IFERROR(__xludf.DUMMYFUNCTION("""COMPUTED_VALUE"""),6)</f>
        <v>6</v>
      </c>
      <c r="AH16" s="103">
        <f ca="1">IFERROR(__xludf.DUMMYFUNCTION("""COMPUTED_VALUE"""),7)</f>
        <v>7</v>
      </c>
      <c r="AI16" s="103">
        <f ca="1">IFERROR(__xludf.DUMMYFUNCTION("""COMPUTED_VALUE"""),11)</f>
        <v>11</v>
      </c>
      <c r="AJ16" s="103" t="str">
        <f ca="1">IFERROR(__xludf.DUMMYFUNCTION("""COMPUTED_VALUE"""),"MORS")</f>
        <v>MORS</v>
      </c>
      <c r="AK16" s="103">
        <f ca="1">IFERROR(__xludf.DUMMYFUNCTION("""COMPUTED_VALUE"""),7)</f>
        <v>7</v>
      </c>
      <c r="AL16" s="103"/>
      <c r="AM16" s="103"/>
      <c r="AN16" s="103"/>
      <c r="AO16" s="57">
        <f ca="1">IFERROR(__xludf.DUMMYFUNCTION("""COMPUTED_VALUE"""),0)</f>
        <v>0</v>
      </c>
      <c r="AP16" s="103">
        <f ca="1">IFERROR(__xludf.DUMMYFUNCTION("""COMPUTED_VALUE"""),1)</f>
        <v>1</v>
      </c>
    </row>
    <row r="17" spans="1:42">
      <c r="A17" s="103">
        <f ca="1">IFERROR(__xludf.DUMMYFUNCTION("""COMPUTED_VALUE"""),16)</f>
        <v>16</v>
      </c>
      <c r="B17" s="103" t="str">
        <f ca="1">IFERROR(__xludf.DUMMYFUNCTION("""COMPUTED_VALUE"""),"NDS")</f>
        <v>NDS</v>
      </c>
      <c r="C17" s="103" t="str">
        <f ca="1">IFERROR(__xludf.DUMMYFUNCTION("""COMPUTED_VALUE"""),"R")</f>
        <v>R</v>
      </c>
      <c r="D17" s="103">
        <f ca="1">IFERROR(__xludf.DUMMYFUNCTION("""COMPUTED_VALUE"""),262127373)</f>
        <v>262127373</v>
      </c>
      <c r="E17" s="103" t="str">
        <f ca="1">IFERROR(__xludf.DUMMYFUNCTION("""COMPUTED_VALUE"""),"Purple Finch")</f>
        <v>Purple Finch</v>
      </c>
      <c r="F17" s="103" t="str">
        <f ca="1">IFERROR(__xludf.DUMMYFUNCTION("""COMPUTED_VALUE"""),"PUFI")</f>
        <v>PUFI</v>
      </c>
      <c r="G17" s="103">
        <f ca="1">IFERROR(__xludf.DUMMYFUNCTION("""COMPUTED_VALUE"""),6)</f>
        <v>6</v>
      </c>
      <c r="H17" s="103" t="str">
        <f ca="1">IFERROR(__xludf.DUMMYFUNCTION("""COMPUTED_VALUE"""),"P")</f>
        <v>P</v>
      </c>
      <c r="I17" s="103"/>
      <c r="J17" s="103" t="str">
        <f ca="1">IFERROR(__xludf.DUMMYFUNCTION("""COMPUTED_VALUE"""),"DCB")</f>
        <v>DCB</v>
      </c>
      <c r="K17" s="103" t="str">
        <f ca="1">IFERROR(__xludf.DUMMYFUNCTION("""COMPUTED_VALUE"""),"M")</f>
        <v>M</v>
      </c>
      <c r="L17" s="103" t="str">
        <f ca="1">IFERROR(__xludf.DUMMYFUNCTION("""COMPUTED_VALUE"""),"P")</f>
        <v>P</v>
      </c>
      <c r="M17" s="103"/>
      <c r="N17" s="103"/>
      <c r="O17" s="103">
        <f ca="1">IFERROR(__xludf.DUMMYFUNCTION("""COMPUTED_VALUE"""),3)</f>
        <v>3</v>
      </c>
      <c r="P17" s="103">
        <f ca="1">IFERROR(__xludf.DUMMYFUNCTION("""COMPUTED_VALUE"""),0)</f>
        <v>0</v>
      </c>
      <c r="Q17" s="103">
        <f ca="1">IFERROR(__xludf.DUMMYFUNCTION("""COMPUTED_VALUE"""),1)</f>
        <v>1</v>
      </c>
      <c r="R17" s="103">
        <f ca="1">IFERROR(__xludf.DUMMYFUNCTION("""COMPUTED_VALUE"""),0)</f>
        <v>0</v>
      </c>
      <c r="S17" s="103" t="str">
        <f ca="1">IFERROR(__xludf.DUMMYFUNCTION("""COMPUTED_VALUE"""),"N")</f>
        <v>N</v>
      </c>
      <c r="T17" s="103">
        <f ca="1">IFERROR(__xludf.DUMMYFUNCTION("""COMPUTED_VALUE"""),2)</f>
        <v>2</v>
      </c>
      <c r="U17" s="103"/>
      <c r="V17" s="103" t="str">
        <f ca="1">IFERROR(__xludf.DUMMYFUNCTION("""COMPUTED_VALUE"""),"B")</f>
        <v>B</v>
      </c>
      <c r="W17" s="103" t="str">
        <f ca="1">IFERROR(__xludf.DUMMYFUNCTION("""COMPUTED_VALUE"""),"B")</f>
        <v>B</v>
      </c>
      <c r="X17" s="103"/>
      <c r="Y17" s="103"/>
      <c r="Z17" s="103"/>
      <c r="AA17" s="103" t="str">
        <f ca="1">IFERROR(__xludf.DUMMYFUNCTION("""COMPUTED_VALUE"""),"B")</f>
        <v>B</v>
      </c>
      <c r="AB17" s="103"/>
      <c r="AC17" s="103"/>
      <c r="AD17" s="103">
        <f ca="1">IFERROR(__xludf.DUMMYFUNCTION("""COMPUTED_VALUE"""),80)</f>
        <v>80</v>
      </c>
      <c r="AE17" s="103">
        <f ca="1">IFERROR(__xludf.DUMMYFUNCTION("""COMPUTED_VALUE"""),24.9)</f>
        <v>24.9</v>
      </c>
      <c r="AF17" s="103">
        <f ca="1">IFERROR(__xludf.DUMMYFUNCTION("""COMPUTED_VALUE"""),300)</f>
        <v>300</v>
      </c>
      <c r="AG17" s="103">
        <f ca="1">IFERROR(__xludf.DUMMYFUNCTION("""COMPUTED_VALUE"""),6)</f>
        <v>6</v>
      </c>
      <c r="AH17" s="103">
        <f ca="1">IFERROR(__xludf.DUMMYFUNCTION("""COMPUTED_VALUE"""),7)</f>
        <v>7</v>
      </c>
      <c r="AI17" s="103">
        <f ca="1">IFERROR(__xludf.DUMMYFUNCTION("""COMPUTED_VALUE"""),1130)</f>
        <v>1130</v>
      </c>
      <c r="AJ17" s="103" t="str">
        <f ca="1">IFERROR(__xludf.DUMMYFUNCTION("""COMPUTED_VALUE"""),"MORS")</f>
        <v>MORS</v>
      </c>
      <c r="AK17" s="103">
        <f ca="1">IFERROR(__xludf.DUMMYFUNCTION("""COMPUTED_VALUE"""),20)</f>
        <v>20</v>
      </c>
      <c r="AL17" s="103"/>
      <c r="AM17" s="103"/>
      <c r="AN17" s="103"/>
      <c r="AO17" s="57" t="str">
        <f ca="1">IFERROR(__xludf.DUMMYFUNCTION("""COMPUTED_VALUE"""),"R")</f>
        <v>R</v>
      </c>
      <c r="AP17" s="103">
        <f ca="1">IFERROR(__xludf.DUMMYFUNCTION("""COMPUTED_VALUE"""),1)</f>
        <v>1</v>
      </c>
    </row>
    <row r="18" spans="1:42">
      <c r="A18" s="103">
        <f ca="1">IFERROR(__xludf.DUMMYFUNCTION("""COMPUTED_VALUE"""),1)</f>
        <v>1</v>
      </c>
      <c r="B18" s="103" t="str">
        <f ca="1">IFERROR(__xludf.DUMMYFUNCTION("""COMPUTED_VALUE"""),"JSM")</f>
        <v>JSM</v>
      </c>
      <c r="C18" s="103" t="str">
        <f ca="1">IFERROR(__xludf.DUMMYFUNCTION("""COMPUTED_VALUE"""),"N")</f>
        <v>N</v>
      </c>
      <c r="D18" s="103">
        <f ca="1">IFERROR(__xludf.DUMMYFUNCTION("""COMPUTED_VALUE"""),172176231)</f>
        <v>172176231</v>
      </c>
      <c r="E18" s="103" t="str">
        <f ca="1">IFERROR(__xludf.DUMMYFUNCTION("""COMPUTED_VALUE"""),"Song Sparrow")</f>
        <v>Song Sparrow</v>
      </c>
      <c r="F18" s="103" t="str">
        <f ca="1">IFERROR(__xludf.DUMMYFUNCTION("""COMPUTED_VALUE"""),"SOSP")</f>
        <v>SOSP</v>
      </c>
      <c r="G18" s="103">
        <f ca="1">IFERROR(__xludf.DUMMYFUNCTION("""COMPUTED_VALUE"""),1)</f>
        <v>1</v>
      </c>
      <c r="H18" s="103" t="str">
        <f ca="1">IFERROR(__xludf.DUMMYFUNCTION("""COMPUTED_VALUE"""),"C")</f>
        <v>C</v>
      </c>
      <c r="I18" s="103"/>
      <c r="J18" s="103" t="str">
        <f ca="1">IFERROR(__xludf.DUMMYFUNCTION("""COMPUTED_VALUE"""),"UAJ")</f>
        <v>UAJ</v>
      </c>
      <c r="K18" s="103" t="str">
        <f ca="1">IFERROR(__xludf.DUMMYFUNCTION("""COMPUTED_VALUE"""),"M")</f>
        <v>M</v>
      </c>
      <c r="L18" s="103" t="str">
        <f ca="1">IFERROR(__xludf.DUMMYFUNCTION("""COMPUTED_VALUE"""),"C")</f>
        <v>C</v>
      </c>
      <c r="M18" s="103"/>
      <c r="N18" s="103"/>
      <c r="O18" s="103">
        <f ca="1">IFERROR(__xludf.DUMMYFUNCTION("""COMPUTED_VALUE"""),3)</f>
        <v>3</v>
      </c>
      <c r="P18" s="103">
        <f ca="1">IFERROR(__xludf.DUMMYFUNCTION("""COMPUTED_VALUE"""),0)</f>
        <v>0</v>
      </c>
      <c r="Q18" s="103">
        <f ca="1">IFERROR(__xludf.DUMMYFUNCTION("""COMPUTED_VALUE"""),0)</f>
        <v>0</v>
      </c>
      <c r="R18" s="103" t="str">
        <f ca="1">IFERROR(__xludf.DUMMYFUNCTION("""COMPUTED_VALUE"""),"N")</f>
        <v>N</v>
      </c>
      <c r="S18" s="103">
        <f ca="1">IFERROR(__xludf.DUMMYFUNCTION("""COMPUTED_VALUE"""),0)</f>
        <v>0</v>
      </c>
      <c r="T18" s="103">
        <f ca="1">IFERROR(__xludf.DUMMYFUNCTION("""COMPUTED_VALUE"""),4)</f>
        <v>4</v>
      </c>
      <c r="U18" s="103"/>
      <c r="V18" s="103" t="str">
        <f ca="1">IFERROR(__xludf.DUMMYFUNCTION("""COMPUTED_VALUE"""),"U")</f>
        <v>U</v>
      </c>
      <c r="W18" s="103"/>
      <c r="X18" s="103" t="str">
        <f ca="1">IFERROR(__xludf.DUMMYFUNCTION("""COMPUTED_VALUE"""),"U")</f>
        <v>U</v>
      </c>
      <c r="Y18" s="103"/>
      <c r="Z18" s="103"/>
      <c r="AA18" s="103" t="str">
        <f ca="1">IFERROR(__xludf.DUMMYFUNCTION("""COMPUTED_VALUE"""),"U")</f>
        <v>U</v>
      </c>
      <c r="AB18" s="103"/>
      <c r="AC18" s="103"/>
      <c r="AD18" s="103">
        <f ca="1">IFERROR(__xludf.DUMMYFUNCTION("""COMPUTED_VALUE"""),60)</f>
        <v>60</v>
      </c>
      <c r="AE18" s="103">
        <f ca="1">IFERROR(__xludf.DUMMYFUNCTION("""COMPUTED_VALUE"""),22.1)</f>
        <v>22.1</v>
      </c>
      <c r="AF18" s="103">
        <f ca="1">IFERROR(__xludf.DUMMYFUNCTION("""COMPUTED_VALUE"""),300)</f>
        <v>300</v>
      </c>
      <c r="AG18" s="103">
        <f ca="1">IFERROR(__xludf.DUMMYFUNCTION("""COMPUTED_VALUE"""),6)</f>
        <v>6</v>
      </c>
      <c r="AH18" s="103">
        <f ca="1">IFERROR(__xludf.DUMMYFUNCTION("""COMPUTED_VALUE"""),7)</f>
        <v>7</v>
      </c>
      <c r="AI18" s="103">
        <f ca="1">IFERROR(__xludf.DUMMYFUNCTION("""COMPUTED_VALUE"""),630)</f>
        <v>630</v>
      </c>
      <c r="AJ18" s="103" t="str">
        <f ca="1">IFERROR(__xludf.DUMMYFUNCTION("""COMPUTED_VALUE"""),"MORS")</f>
        <v>MORS</v>
      </c>
      <c r="AK18" s="103">
        <f ca="1">IFERROR(__xludf.DUMMYFUNCTION("""COMPUTED_VALUE"""),20)</f>
        <v>20</v>
      </c>
      <c r="AL18" s="103"/>
      <c r="AM18" s="103">
        <f ca="1">IFERROR(__xludf.DUMMYFUNCTION("""COMPUTED_VALUE"""),1)</f>
        <v>1</v>
      </c>
      <c r="AN18" s="103" t="str">
        <f ca="1">IFERROR(__xludf.DUMMYFUNCTION("""COMPUTED_VALUE"""),"SScovs in molt symetric")</f>
        <v>SScovs in molt symetric</v>
      </c>
      <c r="AO18" s="57" t="str">
        <f ca="1">IFERROR(__xludf.DUMMYFUNCTION("""COMPUTED_VALUE"""),"1B")</f>
        <v>1B</v>
      </c>
      <c r="AP18" s="103">
        <f ca="1">IFERROR(__xludf.DUMMYFUNCTION("""COMPUTED_VALUE"""),2)</f>
        <v>2</v>
      </c>
    </row>
    <row r="19" spans="1:42">
      <c r="A19" s="103">
        <f ca="1">IFERROR(__xludf.DUMMYFUNCTION("""COMPUTED_VALUE"""),2)</f>
        <v>2</v>
      </c>
      <c r="B19" s="103" t="str">
        <f ca="1">IFERROR(__xludf.DUMMYFUNCTION("""COMPUTED_VALUE"""),"JSM")</f>
        <v>JSM</v>
      </c>
      <c r="C19" s="103" t="str">
        <f ca="1">IFERROR(__xludf.DUMMYFUNCTION("""COMPUTED_VALUE"""),"R")</f>
        <v>R</v>
      </c>
      <c r="D19" s="103">
        <f ca="1">IFERROR(__xludf.DUMMYFUNCTION("""COMPUTED_VALUE"""),283105290)</f>
        <v>283105290</v>
      </c>
      <c r="E19" s="103" t="str">
        <f ca="1">IFERROR(__xludf.DUMMYFUNCTION("""COMPUTED_VALUE"""),"Swainson's Thrush")</f>
        <v>Swainson's Thrush</v>
      </c>
      <c r="F19" s="103" t="str">
        <f ca="1">IFERROR(__xludf.DUMMYFUNCTION("""COMPUTED_VALUE"""),"SWTH")</f>
        <v>SWTH</v>
      </c>
      <c r="G19" s="103">
        <f ca="1">IFERROR(__xludf.DUMMYFUNCTION("""COMPUTED_VALUE"""),1)</f>
        <v>1</v>
      </c>
      <c r="H19" s="103" t="str">
        <f ca="1">IFERROR(__xludf.DUMMYFUNCTION("""COMPUTED_VALUE"""),"C")</f>
        <v>C</v>
      </c>
      <c r="I19" s="103"/>
      <c r="J19" s="103" t="str">
        <f ca="1">IFERROR(__xludf.DUMMYFUNCTION("""COMPUTED_VALUE"""),"UAJ")</f>
        <v>UAJ</v>
      </c>
      <c r="K19" s="103" t="str">
        <f ca="1">IFERROR(__xludf.DUMMYFUNCTION("""COMPUTED_VALUE"""),"M")</f>
        <v>M</v>
      </c>
      <c r="L19" s="103" t="str">
        <f ca="1">IFERROR(__xludf.DUMMYFUNCTION("""COMPUTED_VALUE"""),"C")</f>
        <v>C</v>
      </c>
      <c r="M19" s="103"/>
      <c r="N19" s="103"/>
      <c r="O19" s="103">
        <f ca="1">IFERROR(__xludf.DUMMYFUNCTION("""COMPUTED_VALUE"""),2)</f>
        <v>2</v>
      </c>
      <c r="P19" s="103">
        <f ca="1">IFERROR(__xludf.DUMMYFUNCTION("""COMPUTED_VALUE"""),0)</f>
        <v>0</v>
      </c>
      <c r="Q19" s="103">
        <f ca="1">IFERROR(__xludf.DUMMYFUNCTION("""COMPUTED_VALUE"""),0)</f>
        <v>0</v>
      </c>
      <c r="R19" s="103" t="str">
        <f ca="1">IFERROR(__xludf.DUMMYFUNCTION("""COMPUTED_VALUE"""),"N")</f>
        <v>N</v>
      </c>
      <c r="S19" s="103">
        <f ca="1">IFERROR(__xludf.DUMMYFUNCTION("""COMPUTED_VALUE"""),0)</f>
        <v>0</v>
      </c>
      <c r="T19" s="103">
        <f ca="1">IFERROR(__xludf.DUMMYFUNCTION("""COMPUTED_VALUE"""),1)</f>
        <v>1</v>
      </c>
      <c r="U19" s="103"/>
      <c r="V19" s="103"/>
      <c r="W19" s="103"/>
      <c r="X19" s="103" t="str">
        <f ca="1">IFERROR(__xludf.DUMMYFUNCTION("""COMPUTED_VALUE"""),"U")</f>
        <v>U</v>
      </c>
      <c r="Y19" s="103"/>
      <c r="Z19" s="103"/>
      <c r="AA19" s="103"/>
      <c r="AB19" s="103"/>
      <c r="AC19" s="103"/>
      <c r="AD19" s="103">
        <f ca="1">IFERROR(__xludf.DUMMYFUNCTION("""COMPUTED_VALUE"""),91)</f>
        <v>91</v>
      </c>
      <c r="AE19" s="103">
        <f ca="1">IFERROR(__xludf.DUMMYFUNCTION("""COMPUTED_VALUE"""),29.6)</f>
        <v>29.6</v>
      </c>
      <c r="AF19" s="103">
        <f ca="1">IFERROR(__xludf.DUMMYFUNCTION("""COMPUTED_VALUE"""),300)</f>
        <v>300</v>
      </c>
      <c r="AG19" s="103">
        <f ca="1">IFERROR(__xludf.DUMMYFUNCTION("""COMPUTED_VALUE"""),6)</f>
        <v>6</v>
      </c>
      <c r="AH19" s="103">
        <f ca="1">IFERROR(__xludf.DUMMYFUNCTION("""COMPUTED_VALUE"""),7)</f>
        <v>7</v>
      </c>
      <c r="AI19" s="103">
        <f ca="1">IFERROR(__xludf.DUMMYFUNCTION("""COMPUTED_VALUE"""),630)</f>
        <v>630</v>
      </c>
      <c r="AJ19" s="103" t="str">
        <f ca="1">IFERROR(__xludf.DUMMYFUNCTION("""COMPUTED_VALUE"""),"MORS")</f>
        <v>MORS</v>
      </c>
      <c r="AK19" s="103">
        <f ca="1">IFERROR(__xludf.DUMMYFUNCTION("""COMPUTED_VALUE"""),14)</f>
        <v>14</v>
      </c>
      <c r="AL19" s="103"/>
      <c r="AM19" s="103">
        <f ca="1">IFERROR(__xludf.DUMMYFUNCTION("""COMPUTED_VALUE"""),2)</f>
        <v>2</v>
      </c>
      <c r="AN19" s="103" t="str">
        <f ca="1">IFERROR(__xludf.DUMMYFUNCTION("""COMPUTED_VALUE"""),"P10 5mm shorter than ppcovs. Prob SY based on rects being narrow and pointed, but rects were wet.")</f>
        <v>P10 5mm shorter than ppcovs. Prob SY based on rects being narrow and pointed, but rects were wet.</v>
      </c>
      <c r="AO19" s="57" t="str">
        <f ca="1">IFERROR(__xludf.DUMMYFUNCTION("""COMPUTED_VALUE"""),"R")</f>
        <v>R</v>
      </c>
      <c r="AP19" s="103">
        <f ca="1">IFERROR(__xludf.DUMMYFUNCTION("""COMPUTED_VALUE"""),2)</f>
        <v>2</v>
      </c>
    </row>
    <row r="20" spans="1:42">
      <c r="A20" s="103">
        <f ca="1">IFERROR(__xludf.DUMMYFUNCTION("""COMPUTED_VALUE"""),3)</f>
        <v>3</v>
      </c>
      <c r="B20" s="103" t="str">
        <f ca="1">IFERROR(__xludf.DUMMYFUNCTION("""COMPUTED_VALUE"""),"JSM")</f>
        <v>JSM</v>
      </c>
      <c r="C20" s="103" t="str">
        <f ca="1">IFERROR(__xludf.DUMMYFUNCTION("""COMPUTED_VALUE"""),"U")</f>
        <v>U</v>
      </c>
      <c r="D20" s="103"/>
      <c r="E20" s="103" t="str">
        <f ca="1">IFERROR(__xludf.DUMMYFUNCTION("""COMPUTED_VALUE"""),"Rufus Hummingbird")</f>
        <v>Rufus Hummingbird</v>
      </c>
      <c r="F20" s="103" t="str">
        <f ca="1">IFERROR(__xludf.DUMMYFUNCTION("""COMPUTED_VALUE"""),"RUHU")</f>
        <v>RUHU</v>
      </c>
      <c r="G20" s="103">
        <f ca="1">IFERROR(__xludf.DUMMYFUNCTION("""COMPUTED_VALUE"""),6)</f>
        <v>6</v>
      </c>
      <c r="H20" s="103"/>
      <c r="I20" s="103"/>
      <c r="J20" s="103" t="str">
        <f ca="1">IFERROR(__xludf.DUMMYFUNCTION("""COMPUTED_VALUE"""),"DCB")</f>
        <v>DCB</v>
      </c>
      <c r="K20" s="103" t="str">
        <f ca="1">IFERROR(__xludf.DUMMYFUNCTION("""COMPUTED_VALUE"""),"M")</f>
        <v>M</v>
      </c>
      <c r="L20" s="103" t="str">
        <f ca="1">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 ca="1">IFERROR(__xludf.DUMMYFUNCTION("""COMPUTED_VALUE"""),6)</f>
        <v>6</v>
      </c>
      <c r="AH20" s="103">
        <f ca="1">IFERROR(__xludf.DUMMYFUNCTION("""COMPUTED_VALUE"""),7)</f>
        <v>7</v>
      </c>
      <c r="AI20" s="103">
        <f ca="1">IFERROR(__xludf.DUMMYFUNCTION("""COMPUTED_VALUE"""),630)</f>
        <v>630</v>
      </c>
      <c r="AJ20" s="103" t="str">
        <f ca="1">IFERROR(__xludf.DUMMYFUNCTION("""COMPUTED_VALUE"""),"MORS")</f>
        <v>MORS</v>
      </c>
      <c r="AK20" s="103">
        <f ca="1">IFERROR(__xludf.DUMMYFUNCTION("""COMPUTED_VALUE"""),21)</f>
        <v>21</v>
      </c>
      <c r="AL20" s="103"/>
      <c r="AM20" s="103"/>
      <c r="AN20" s="103"/>
      <c r="AO20" s="57" t="str">
        <f ca="1">IFERROR(__xludf.DUMMYFUNCTION("""COMPUTED_VALUE"""),"U")</f>
        <v>U</v>
      </c>
      <c r="AP20" s="103">
        <f ca="1">IFERROR(__xludf.DUMMYFUNCTION("""COMPUTED_VALUE"""),2)</f>
        <v>2</v>
      </c>
    </row>
    <row r="21" spans="1:42">
      <c r="A21" s="103">
        <f ca="1">IFERROR(__xludf.DUMMYFUNCTION("""COMPUTED_VALUE"""),4)</f>
        <v>4</v>
      </c>
      <c r="B21" s="103" t="str">
        <f ca="1">IFERROR(__xludf.DUMMYFUNCTION("""COMPUTED_VALUE"""),"JSM")</f>
        <v>JSM</v>
      </c>
      <c r="C21" s="103" t="str">
        <f ca="1">IFERROR(__xludf.DUMMYFUNCTION("""COMPUTED_VALUE"""),"N")</f>
        <v>N</v>
      </c>
      <c r="D21" s="103">
        <f ca="1">IFERROR(__xludf.DUMMYFUNCTION("""COMPUTED_VALUE"""),288029933)</f>
        <v>288029933</v>
      </c>
      <c r="E21" s="103" t="str">
        <f ca="1">IFERROR(__xludf.DUMMYFUNCTION("""COMPUTED_VALUE"""),"Willow Flycatcher")</f>
        <v>Willow Flycatcher</v>
      </c>
      <c r="F21" s="103" t="str">
        <f ca="1">IFERROR(__xludf.DUMMYFUNCTION("""COMPUTED_VALUE"""),"WIFL")</f>
        <v>WIFL</v>
      </c>
      <c r="G21" s="103">
        <f ca="1">IFERROR(__xludf.DUMMYFUNCTION("""COMPUTED_VALUE"""),5)</f>
        <v>5</v>
      </c>
      <c r="H21" s="103" t="str">
        <f ca="1">IFERROR(__xludf.DUMMYFUNCTION("""COMPUTED_VALUE"""),"P")</f>
        <v>P</v>
      </c>
      <c r="I21" s="103"/>
      <c r="J21" s="103" t="str">
        <f ca="1">IFERROR(__xludf.DUMMYFUNCTION("""COMPUTED_VALUE"""),"FCF")</f>
        <v>FCF</v>
      </c>
      <c r="K21" s="103" t="str">
        <f ca="1">IFERROR(__xludf.DUMMYFUNCTION("""COMPUTED_VALUE"""),"M")</f>
        <v>M</v>
      </c>
      <c r="L21" s="103" t="str">
        <f ca="1">IFERROR(__xludf.DUMMYFUNCTION("""COMPUTED_VALUE"""),"C")</f>
        <v>C</v>
      </c>
      <c r="M21" s="103"/>
      <c r="N21" s="103"/>
      <c r="O21" s="103">
        <f ca="1">IFERROR(__xludf.DUMMYFUNCTION("""COMPUTED_VALUE"""),2)</f>
        <v>2</v>
      </c>
      <c r="P21" s="103">
        <f ca="1">IFERROR(__xludf.DUMMYFUNCTION("""COMPUTED_VALUE"""),0)</f>
        <v>0</v>
      </c>
      <c r="Q21" s="103">
        <f ca="1">IFERROR(__xludf.DUMMYFUNCTION("""COMPUTED_VALUE"""),1)</f>
        <v>1</v>
      </c>
      <c r="R21" s="103" t="str">
        <f ca="1">IFERROR(__xludf.DUMMYFUNCTION("""COMPUTED_VALUE"""),"N")</f>
        <v>N</v>
      </c>
      <c r="S21" s="103">
        <f ca="1">IFERROR(__xludf.DUMMYFUNCTION("""COMPUTED_VALUE"""),0)</f>
        <v>0</v>
      </c>
      <c r="T21" s="103">
        <f ca="1">IFERROR(__xludf.DUMMYFUNCTION("""COMPUTED_VALUE"""),1)</f>
        <v>1</v>
      </c>
      <c r="U21" s="103"/>
      <c r="V21" s="103" t="str">
        <f ca="1">IFERROR(__xludf.DUMMYFUNCTION("""COMPUTED_VALUE"""),"L")</f>
        <v>L</v>
      </c>
      <c r="W21" s="103" t="str">
        <f ca="1">IFERROR(__xludf.DUMMYFUNCTION("""COMPUTED_VALUE"""),"L")</f>
        <v>L</v>
      </c>
      <c r="X21" s="103"/>
      <c r="Y21" s="103"/>
      <c r="Z21" s="103"/>
      <c r="AA21" s="103"/>
      <c r="AB21" s="103"/>
      <c r="AC21" s="103"/>
      <c r="AD21" s="103">
        <f ca="1">IFERROR(__xludf.DUMMYFUNCTION("""COMPUTED_VALUE"""),66)</f>
        <v>66</v>
      </c>
      <c r="AE21" s="103">
        <f ca="1">IFERROR(__xludf.DUMMYFUNCTION("""COMPUTED_VALUE"""),13.1)</f>
        <v>13.1</v>
      </c>
      <c r="AF21" s="103">
        <f ca="1">IFERROR(__xludf.DUMMYFUNCTION("""COMPUTED_VALUE"""),300)</f>
        <v>300</v>
      </c>
      <c r="AG21" s="103">
        <f ca="1">IFERROR(__xludf.DUMMYFUNCTION("""COMPUTED_VALUE"""),6)</f>
        <v>6</v>
      </c>
      <c r="AH21" s="103">
        <f ca="1">IFERROR(__xludf.DUMMYFUNCTION("""COMPUTED_VALUE"""),7)</f>
        <v>7</v>
      </c>
      <c r="AI21" s="103">
        <f ca="1">IFERROR(__xludf.DUMMYFUNCTION("""COMPUTED_VALUE"""),630)</f>
        <v>630</v>
      </c>
      <c r="AJ21" s="103" t="str">
        <f ca="1">IFERROR(__xludf.DUMMYFUNCTION("""COMPUTED_VALUE"""),"MORS")</f>
        <v>MORS</v>
      </c>
      <c r="AK21" s="103">
        <f ca="1">IFERROR(__xludf.DUMMYFUNCTION("""COMPUTED_VALUE"""),20)</f>
        <v>20</v>
      </c>
      <c r="AL21" s="103"/>
      <c r="AM21" s="103">
        <f ca="1">IFERROR(__xludf.DUMMYFUNCTION("""COMPUTED_VALUE"""),3)</f>
        <v>3</v>
      </c>
      <c r="AN21" s="103" t="str">
        <f ca="1">IFERROR(__xludf.DUMMYFUNCTION("""COMPUTED_VALUE"""),"Tail-56mm. Bill from nares 10.8. Longest P - P6 = 4; WIFL")</f>
        <v>Tail-56mm. Bill from nares 10.8. Longest P - P6 = 4; WIFL</v>
      </c>
      <c r="AO21" s="57">
        <f ca="1">IFERROR(__xludf.DUMMYFUNCTION("""COMPUTED_VALUE"""),0)</f>
        <v>0</v>
      </c>
      <c r="AP21" s="103">
        <f ca="1">IFERROR(__xludf.DUMMYFUNCTION("""COMPUTED_VALUE"""),2)</f>
        <v>2</v>
      </c>
    </row>
    <row r="22" spans="1:42">
      <c r="A22" s="103">
        <f ca="1">IFERROR(__xludf.DUMMYFUNCTION("""COMPUTED_VALUE"""),5)</f>
        <v>5</v>
      </c>
      <c r="B22" s="103" t="str">
        <f ca="1">IFERROR(__xludf.DUMMYFUNCTION("""COMPUTED_VALUE"""),"JSM")</f>
        <v>JSM</v>
      </c>
      <c r="C22" s="103" t="str">
        <f ca="1">IFERROR(__xludf.DUMMYFUNCTION("""COMPUTED_VALUE"""),"N")</f>
        <v>N</v>
      </c>
      <c r="D22" s="103">
        <f ca="1">IFERROR(__xludf.DUMMYFUNCTION("""COMPUTED_VALUE"""),290077828)</f>
        <v>290077828</v>
      </c>
      <c r="E22" s="103" t="str">
        <f ca="1">IFERROR(__xludf.DUMMYFUNCTION("""COMPUTED_VALUE"""),"Brown Creeper")</f>
        <v>Brown Creeper</v>
      </c>
      <c r="F22" s="103" t="str">
        <f ca="1">IFERROR(__xludf.DUMMYFUNCTION("""COMPUTED_VALUE"""),"BRCR")</f>
        <v>BRCR</v>
      </c>
      <c r="G22" s="103">
        <f ca="1">IFERROR(__xludf.DUMMYFUNCTION("""COMPUTED_VALUE"""),1)</f>
        <v>1</v>
      </c>
      <c r="H22" s="103" t="str">
        <f ca="1">IFERROR(__xludf.DUMMYFUNCTION("""COMPUTED_VALUE"""),"B")</f>
        <v>B</v>
      </c>
      <c r="I22" s="103"/>
      <c r="J22" s="103" t="str">
        <f ca="1">IFERROR(__xludf.DUMMYFUNCTION("""COMPUTED_VALUE"""),"UAJ")</f>
        <v>UAJ</v>
      </c>
      <c r="K22" s="103" t="str">
        <f ca="1">IFERROR(__xludf.DUMMYFUNCTION("""COMPUTED_VALUE"""),"F")</f>
        <v>F</v>
      </c>
      <c r="L22" s="103" t="str">
        <f ca="1">IFERROR(__xludf.DUMMYFUNCTION("""COMPUTED_VALUE"""),"B")</f>
        <v>B</v>
      </c>
      <c r="M22" s="103"/>
      <c r="N22" s="103"/>
      <c r="O22" s="103">
        <f ca="1">IFERROR(__xludf.DUMMYFUNCTION("""COMPUTED_VALUE"""),0)</f>
        <v>0</v>
      </c>
      <c r="P22" s="103">
        <f ca="1">IFERROR(__xludf.DUMMYFUNCTION("""COMPUTED_VALUE"""),3)</f>
        <v>3</v>
      </c>
      <c r="Q22" s="103">
        <f ca="1">IFERROR(__xludf.DUMMYFUNCTION("""COMPUTED_VALUE"""),0)</f>
        <v>0</v>
      </c>
      <c r="R22" s="103" t="str">
        <f ca="1">IFERROR(__xludf.DUMMYFUNCTION("""COMPUTED_VALUE"""),"N")</f>
        <v>N</v>
      </c>
      <c r="S22" s="103">
        <f ca="1">IFERROR(__xludf.DUMMYFUNCTION("""COMPUTED_VALUE"""),0)</f>
        <v>0</v>
      </c>
      <c r="T22" s="103"/>
      <c r="U22" s="103"/>
      <c r="V22" s="103"/>
      <c r="W22" s="103"/>
      <c r="X22" s="103"/>
      <c r="Y22" s="103"/>
      <c r="Z22" s="103"/>
      <c r="AA22" s="103"/>
      <c r="AB22" s="103"/>
      <c r="AC22" s="103"/>
      <c r="AD22" s="103">
        <f ca="1">IFERROR(__xludf.DUMMYFUNCTION("""COMPUTED_VALUE"""),60)</f>
        <v>60</v>
      </c>
      <c r="AE22" s="103"/>
      <c r="AF22" s="103"/>
      <c r="AG22" s="103">
        <f ca="1">IFERROR(__xludf.DUMMYFUNCTION("""COMPUTED_VALUE"""),6)</f>
        <v>6</v>
      </c>
      <c r="AH22" s="103">
        <f ca="1">IFERROR(__xludf.DUMMYFUNCTION("""COMPUTED_VALUE"""),7)</f>
        <v>7</v>
      </c>
      <c r="AI22" s="103">
        <f ca="1">IFERROR(__xludf.DUMMYFUNCTION("""COMPUTED_VALUE"""),630)</f>
        <v>630</v>
      </c>
      <c r="AJ22" s="103" t="str">
        <f ca="1">IFERROR(__xludf.DUMMYFUNCTION("""COMPUTED_VALUE"""),"MORS")</f>
        <v>MORS</v>
      </c>
      <c r="AK22" s="103">
        <f ca="1">IFERROR(__xludf.DUMMYFUNCTION("""COMPUTED_VALUE"""),3)</f>
        <v>3</v>
      </c>
      <c r="AL22" s="103" t="str">
        <f ca="1">IFERROR(__xludf.DUMMYFUNCTION("""COMPUTED_VALUE"""),"D")</f>
        <v>D</v>
      </c>
      <c r="AM22" s="103">
        <f ca="1">IFERROR(__xludf.DUMMYFUNCTION("""COMPUTED_VALUE"""),4)</f>
        <v>4</v>
      </c>
      <c r="AN22" s="103" t="str">
        <f ca="1">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 ca="1">IFERROR(__xludf.DUMMYFUNCTION("""COMPUTED_VALUE"""),"0A")</f>
        <v>0A</v>
      </c>
      <c r="AP22" s="103">
        <f ca="1">IFERROR(__xludf.DUMMYFUNCTION("""COMPUTED_VALUE"""),2)</f>
        <v>2</v>
      </c>
    </row>
    <row r="23" spans="1:42">
      <c r="A23" s="103">
        <f ca="1">IFERROR(__xludf.DUMMYFUNCTION("""COMPUTED_VALUE"""),6)</f>
        <v>6</v>
      </c>
      <c r="B23" s="103" t="str">
        <f ca="1">IFERROR(__xludf.DUMMYFUNCTION("""COMPUTED_VALUE"""),"JSM")</f>
        <v>JSM</v>
      </c>
      <c r="C23" s="103" t="str">
        <f ca="1">IFERROR(__xludf.DUMMYFUNCTION("""COMPUTED_VALUE"""),"N")</f>
        <v>N</v>
      </c>
      <c r="D23" s="103">
        <f ca="1">IFERROR(__xludf.DUMMYFUNCTION("""COMPUTED_VALUE"""),288029934)</f>
        <v>288029934</v>
      </c>
      <c r="E23" s="103" t="str">
        <f ca="1">IFERROR(__xludf.DUMMYFUNCTION("""COMPUTED_VALUE"""),"Oregon Junco")</f>
        <v>Oregon Junco</v>
      </c>
      <c r="F23" s="103" t="str">
        <f ca="1">IFERROR(__xludf.DUMMYFUNCTION("""COMPUTED_VALUE"""),"ORJU")</f>
        <v>ORJU</v>
      </c>
      <c r="G23" s="103">
        <f ca="1">IFERROR(__xludf.DUMMYFUNCTION("""COMPUTED_VALUE"""),5)</f>
        <v>5</v>
      </c>
      <c r="H23" s="103" t="str">
        <f ca="1">IFERROR(__xludf.DUMMYFUNCTION("""COMPUTED_VALUE"""),"C")</f>
        <v>C</v>
      </c>
      <c r="I23" s="103" t="str">
        <f ca="1">IFERROR(__xludf.DUMMYFUNCTION("""COMPUTED_VALUE"""),"P")</f>
        <v>P</v>
      </c>
      <c r="J23" s="103" t="str">
        <f ca="1">IFERROR(__xludf.DUMMYFUNCTION("""COMPUTED_VALUE"""),"FCF")</f>
        <v>FCF</v>
      </c>
      <c r="K23" s="103" t="str">
        <f ca="1">IFERROR(__xludf.DUMMYFUNCTION("""COMPUTED_VALUE"""),"M")</f>
        <v>M</v>
      </c>
      <c r="L23" s="103" t="str">
        <f ca="1">IFERROR(__xludf.DUMMYFUNCTION("""COMPUTED_VALUE"""),"C")</f>
        <v>C</v>
      </c>
      <c r="M23" s="103"/>
      <c r="N23" s="103"/>
      <c r="O23" s="103">
        <f ca="1">IFERROR(__xludf.DUMMYFUNCTION("""COMPUTED_VALUE"""),3)</f>
        <v>3</v>
      </c>
      <c r="P23" s="103">
        <f ca="1">IFERROR(__xludf.DUMMYFUNCTION("""COMPUTED_VALUE"""),0)</f>
        <v>0</v>
      </c>
      <c r="Q23" s="103">
        <f ca="1">IFERROR(__xludf.DUMMYFUNCTION("""COMPUTED_VALUE"""),0)</f>
        <v>0</v>
      </c>
      <c r="R23" s="103" t="str">
        <f ca="1">IFERROR(__xludf.DUMMYFUNCTION("""COMPUTED_VALUE"""),"N")</f>
        <v>N</v>
      </c>
      <c r="S23" s="103">
        <f ca="1">IFERROR(__xludf.DUMMYFUNCTION("""COMPUTED_VALUE"""),0)</f>
        <v>0</v>
      </c>
      <c r="T23" s="103">
        <f ca="1">IFERROR(__xludf.DUMMYFUNCTION("""COMPUTED_VALUE"""),2)</f>
        <v>2</v>
      </c>
      <c r="U23" s="103"/>
      <c r="V23" s="103"/>
      <c r="W23" s="103"/>
      <c r="X23" s="103"/>
      <c r="Y23" s="103"/>
      <c r="Z23" s="103"/>
      <c r="AA23" s="103"/>
      <c r="AB23" s="103" t="str">
        <f ca="1">IFERROR(__xludf.DUMMYFUNCTION("""COMPUTED_VALUE"""),"F")</f>
        <v>F</v>
      </c>
      <c r="AC23" s="103"/>
      <c r="AD23" s="103">
        <f ca="1">IFERROR(__xludf.DUMMYFUNCTION("""COMPUTED_VALUE"""),73)</f>
        <v>73</v>
      </c>
      <c r="AE23" s="103">
        <f ca="1">IFERROR(__xludf.DUMMYFUNCTION("""COMPUTED_VALUE"""),17.9)</f>
        <v>17.899999999999999</v>
      </c>
      <c r="AF23" s="103">
        <f ca="1">IFERROR(__xludf.DUMMYFUNCTION("""COMPUTED_VALUE"""),300)</f>
        <v>300</v>
      </c>
      <c r="AG23" s="103">
        <f ca="1">IFERROR(__xludf.DUMMYFUNCTION("""COMPUTED_VALUE"""),6)</f>
        <v>6</v>
      </c>
      <c r="AH23" s="103">
        <f ca="1">IFERROR(__xludf.DUMMYFUNCTION("""COMPUTED_VALUE"""),7)</f>
        <v>7</v>
      </c>
      <c r="AI23" s="103">
        <f ca="1">IFERROR(__xludf.DUMMYFUNCTION("""COMPUTED_VALUE"""),1010)</f>
        <v>1010</v>
      </c>
      <c r="AJ23" s="103" t="str">
        <f ca="1">IFERROR(__xludf.DUMMYFUNCTION("""COMPUTED_VALUE"""),"MORS")</f>
        <v>MORS</v>
      </c>
      <c r="AK23" s="103">
        <f ca="1">IFERROR(__xludf.DUMMYFUNCTION("""COMPUTED_VALUE"""),3)</f>
        <v>3</v>
      </c>
      <c r="AL23" s="103"/>
      <c r="AM23" s="103"/>
      <c r="AN23" s="103"/>
      <c r="AO23" s="57">
        <f ca="1">IFERROR(__xludf.DUMMYFUNCTION("""COMPUTED_VALUE"""),0)</f>
        <v>0</v>
      </c>
      <c r="AP23" s="103">
        <f ca="1">IFERROR(__xludf.DUMMYFUNCTION("""COMPUTED_VALUE"""),2)</f>
        <v>2</v>
      </c>
    </row>
    <row r="24" spans="1:42">
      <c r="A24" s="103">
        <f ca="1">IFERROR(__xludf.DUMMYFUNCTION("""COMPUTED_VALUE"""),7)</f>
        <v>7</v>
      </c>
      <c r="B24" s="103" t="str">
        <f ca="1">IFERROR(__xludf.DUMMYFUNCTION("""COMPUTED_VALUE"""),"JSM")</f>
        <v>JSM</v>
      </c>
      <c r="C24" s="103" t="str">
        <f ca="1">IFERROR(__xludf.DUMMYFUNCTION("""COMPUTED_VALUE"""),"N")</f>
        <v>N</v>
      </c>
      <c r="D24" s="103">
        <f ca="1">IFERROR(__xludf.DUMMYFUNCTION("""COMPUTED_VALUE"""),288029935)</f>
        <v>288029935</v>
      </c>
      <c r="E24" s="103" t="str">
        <f ca="1">IFERROR(__xludf.DUMMYFUNCTION("""COMPUTED_VALUE"""),"Chestnut-backed Chickadee")</f>
        <v>Chestnut-backed Chickadee</v>
      </c>
      <c r="F24" s="103" t="str">
        <f ca="1">IFERROR(__xludf.DUMMYFUNCTION("""COMPUTED_VALUE"""),"CBCH")</f>
        <v>CBCH</v>
      </c>
      <c r="G24" s="103">
        <f ca="1">IFERROR(__xludf.DUMMYFUNCTION("""COMPUTED_VALUE"""),5)</f>
        <v>5</v>
      </c>
      <c r="H24" s="103" t="str">
        <f ca="1">IFERROR(__xludf.DUMMYFUNCTION("""COMPUTED_VALUE"""),"C")</f>
        <v>C</v>
      </c>
      <c r="I24" s="103" t="str">
        <f ca="1">IFERROR(__xludf.DUMMYFUNCTION("""COMPUTED_VALUE"""),"L")</f>
        <v>L</v>
      </c>
      <c r="J24" s="103" t="str">
        <f ca="1">IFERROR(__xludf.DUMMYFUNCTION("""COMPUTED_VALUE"""),"FCF")</f>
        <v>FCF</v>
      </c>
      <c r="K24" s="103" t="str">
        <f ca="1">IFERROR(__xludf.DUMMYFUNCTION("""COMPUTED_VALUE"""),"F")</f>
        <v>F</v>
      </c>
      <c r="L24" s="103" t="str">
        <f ca="1">IFERROR(__xludf.DUMMYFUNCTION("""COMPUTED_VALUE"""),"B")</f>
        <v>B</v>
      </c>
      <c r="M24" s="103"/>
      <c r="N24" s="103"/>
      <c r="O24" s="103">
        <f ca="1">IFERROR(__xludf.DUMMYFUNCTION("""COMPUTED_VALUE"""),0)</f>
        <v>0</v>
      </c>
      <c r="P24" s="103">
        <f ca="1">IFERROR(__xludf.DUMMYFUNCTION("""COMPUTED_VALUE"""),3)</f>
        <v>3</v>
      </c>
      <c r="Q24" s="103">
        <f ca="1">IFERROR(__xludf.DUMMYFUNCTION("""COMPUTED_VALUE"""),0)</f>
        <v>0</v>
      </c>
      <c r="R24" s="103" t="str">
        <f ca="1">IFERROR(__xludf.DUMMYFUNCTION("""COMPUTED_VALUE"""),"N")</f>
        <v>N</v>
      </c>
      <c r="S24" s="103">
        <f ca="1">IFERROR(__xludf.DUMMYFUNCTION("""COMPUTED_VALUE"""),0)</f>
        <v>0</v>
      </c>
      <c r="T24" s="103">
        <f ca="1">IFERROR(__xludf.DUMMYFUNCTION("""COMPUTED_VALUE"""),3)</f>
        <v>3</v>
      </c>
      <c r="U24" s="103"/>
      <c r="V24" s="103"/>
      <c r="W24" s="103" t="str">
        <f ca="1">IFERROR(__xludf.DUMMYFUNCTION("""COMPUTED_VALUE"""),"L")</f>
        <v>L</v>
      </c>
      <c r="X24" s="103"/>
      <c r="Y24" s="103"/>
      <c r="Z24" s="103"/>
      <c r="AA24" s="103"/>
      <c r="AB24" s="103"/>
      <c r="AC24" s="103"/>
      <c r="AD24" s="103">
        <f ca="1">IFERROR(__xludf.DUMMYFUNCTION("""COMPUTED_VALUE"""),56)</f>
        <v>56</v>
      </c>
      <c r="AE24" s="103">
        <f ca="1">IFERROR(__xludf.DUMMYFUNCTION("""COMPUTED_VALUE"""),10)</f>
        <v>10</v>
      </c>
      <c r="AF24" s="103">
        <f ca="1">IFERROR(__xludf.DUMMYFUNCTION("""COMPUTED_VALUE"""),300)</f>
        <v>300</v>
      </c>
      <c r="AG24" s="103">
        <f ca="1">IFERROR(__xludf.DUMMYFUNCTION("""COMPUTED_VALUE"""),6)</f>
        <v>6</v>
      </c>
      <c r="AH24" s="103">
        <f ca="1">IFERROR(__xludf.DUMMYFUNCTION("""COMPUTED_VALUE"""),7)</f>
        <v>7</v>
      </c>
      <c r="AI24" s="103">
        <f ca="1">IFERROR(__xludf.DUMMYFUNCTION("""COMPUTED_VALUE"""),1040)</f>
        <v>1040</v>
      </c>
      <c r="AJ24" s="103" t="str">
        <f ca="1">IFERROR(__xludf.DUMMYFUNCTION("""COMPUTED_VALUE"""),"MORS")</f>
        <v>MORS</v>
      </c>
      <c r="AK24" s="103">
        <f ca="1">IFERROR(__xludf.DUMMYFUNCTION("""COMPUTED_VALUE"""),5)</f>
        <v>5</v>
      </c>
      <c r="AL24" s="103"/>
      <c r="AM24" s="103"/>
      <c r="AN24" s="103"/>
      <c r="AO24" s="57">
        <f ca="1">IFERROR(__xludf.DUMMYFUNCTION("""COMPUTED_VALUE"""),0)</f>
        <v>0</v>
      </c>
      <c r="AP24" s="103">
        <f ca="1">IFERROR(__xludf.DUMMYFUNCTION("""COMPUTED_VALUE"""),2)</f>
        <v>2</v>
      </c>
    </row>
    <row r="25" spans="1:42">
      <c r="A25" s="103">
        <f ca="1">IFERROR(__xludf.DUMMYFUNCTION("""COMPUTED_VALUE"""),1)</f>
        <v>1</v>
      </c>
      <c r="B25" s="103" t="str">
        <f ca="1">IFERROR(__xludf.DUMMYFUNCTION("""COMPUTED_VALUE"""),"ACC")</f>
        <v>ACC</v>
      </c>
      <c r="C25" s="103" t="str">
        <f ca="1">IFERROR(__xludf.DUMMYFUNCTION("""COMPUTED_VALUE"""),"R")</f>
        <v>R</v>
      </c>
      <c r="D25" s="103">
        <f ca="1">IFERROR(__xludf.DUMMYFUNCTION("""COMPUTED_VALUE"""),804191913)</f>
        <v>804191913</v>
      </c>
      <c r="E25" s="103" t="str">
        <f ca="1">IFERROR(__xludf.DUMMYFUNCTION("""COMPUTED_VALUE"""),"Spotted Towhee")</f>
        <v>Spotted Towhee</v>
      </c>
      <c r="F25" s="103" t="str">
        <f ca="1">IFERROR(__xludf.DUMMYFUNCTION("""COMPUTED_VALUE"""),"SPTO")</f>
        <v>SPTO</v>
      </c>
      <c r="G25" s="103">
        <f ca="1">IFERROR(__xludf.DUMMYFUNCTION("""COMPUTED_VALUE"""),5)</f>
        <v>5</v>
      </c>
      <c r="H25" s="103" t="str">
        <f ca="1">IFERROR(__xludf.DUMMYFUNCTION("""COMPUTED_VALUE"""),"P")</f>
        <v>P</v>
      </c>
      <c r="I25" s="103"/>
      <c r="J25" s="103" t="str">
        <f ca="1">IFERROR(__xludf.DUMMYFUNCTION("""COMPUTED_VALUE"""),"FCF")</f>
        <v>FCF</v>
      </c>
      <c r="K25" s="103" t="str">
        <f ca="1">IFERROR(__xludf.DUMMYFUNCTION("""COMPUTED_VALUE"""),"F")</f>
        <v>F</v>
      </c>
      <c r="L25" s="103" t="str">
        <f ca="1">IFERROR(__xludf.DUMMYFUNCTION("""COMPUTED_VALUE"""),"P")</f>
        <v>P</v>
      </c>
      <c r="M25" s="103" t="str">
        <f ca="1">IFERROR(__xludf.DUMMYFUNCTION("""COMPUTED_VALUE"""),"B")</f>
        <v>B</v>
      </c>
      <c r="N25" s="103"/>
      <c r="O25" s="103">
        <f ca="1">IFERROR(__xludf.DUMMYFUNCTION("""COMPUTED_VALUE"""),1)</f>
        <v>1</v>
      </c>
      <c r="P25" s="103">
        <f ca="1">IFERROR(__xludf.DUMMYFUNCTION("""COMPUTED_VALUE"""),2)</f>
        <v>2</v>
      </c>
      <c r="Q25" s="103">
        <f ca="1">IFERROR(__xludf.DUMMYFUNCTION("""COMPUTED_VALUE"""),0)</f>
        <v>0</v>
      </c>
      <c r="R25" s="103">
        <f ca="1">IFERROR(__xludf.DUMMYFUNCTION("""COMPUTED_VALUE"""),0)</f>
        <v>0</v>
      </c>
      <c r="S25" s="103" t="str">
        <f ca="1">IFERROR(__xludf.DUMMYFUNCTION("""COMPUTED_VALUE"""),"N")</f>
        <v>N</v>
      </c>
      <c r="T25" s="103">
        <f ca="1">IFERROR(__xludf.DUMMYFUNCTION("""COMPUTED_VALUE"""),3)</f>
        <v>3</v>
      </c>
      <c r="U25" s="103"/>
      <c r="V25" s="103" t="str">
        <f ca="1">IFERROR(__xludf.DUMMYFUNCTION("""COMPUTED_VALUE"""),"J")</f>
        <v>J</v>
      </c>
      <c r="W25" s="103" t="str">
        <f ca="1">IFERROR(__xludf.DUMMYFUNCTION("""COMPUTED_VALUE"""),"F")</f>
        <v>F</v>
      </c>
      <c r="X25" s="103"/>
      <c r="Y25" s="103"/>
      <c r="Z25" s="103"/>
      <c r="AA25" s="103"/>
      <c r="AB25" s="103"/>
      <c r="AC25" s="103" t="str">
        <f ca="1">IFERROR(__xludf.DUMMYFUNCTION("""COMPUTED_VALUE"""),"E")</f>
        <v>E</v>
      </c>
      <c r="AD25" s="103">
        <f ca="1">IFERROR(__xludf.DUMMYFUNCTION("""COMPUTED_VALUE"""),81)</f>
        <v>81</v>
      </c>
      <c r="AE25" s="103">
        <f ca="1">IFERROR(__xludf.DUMMYFUNCTION("""COMPUTED_VALUE"""),38.6)</f>
        <v>38.6</v>
      </c>
      <c r="AF25" s="103">
        <f ca="1">IFERROR(__xludf.DUMMYFUNCTION("""COMPUTED_VALUE"""),300)</f>
        <v>300</v>
      </c>
      <c r="AG25" s="103">
        <f ca="1">IFERROR(__xludf.DUMMYFUNCTION("""COMPUTED_VALUE"""),6)</f>
        <v>6</v>
      </c>
      <c r="AH25" s="103">
        <f ca="1">IFERROR(__xludf.DUMMYFUNCTION("""COMPUTED_VALUE"""),7)</f>
        <v>7</v>
      </c>
      <c r="AI25" s="103">
        <f ca="1">IFERROR(__xludf.DUMMYFUNCTION("""COMPUTED_VALUE"""),630)</f>
        <v>630</v>
      </c>
      <c r="AJ25" s="103" t="str">
        <f ca="1">IFERROR(__xludf.DUMMYFUNCTION("""COMPUTED_VALUE"""),"MORS")</f>
        <v>MORS</v>
      </c>
      <c r="AK25" s="103">
        <f ca="1">IFERROR(__xludf.DUMMYFUNCTION("""COMPUTED_VALUE"""),2)</f>
        <v>2</v>
      </c>
      <c r="AL25" s="103"/>
      <c r="AM25" s="103">
        <f ca="1">IFERROR(__xludf.DUMMYFUNCTION("""COMPUTED_VALUE"""),1)</f>
        <v>1</v>
      </c>
      <c r="AN25" s="103" t="str">
        <f ca="1">IFERROR(__xludf.DUMMYFUNCTION("""COMPUTED_VALUE"""),"Missing rects. No molt. Eye = bright red. R1-3 on one side.")</f>
        <v>Missing rects. No molt. Eye = bright red. R1-3 on one side.</v>
      </c>
      <c r="AO25" s="57" t="str">
        <f ca="1">IFERROR(__xludf.DUMMYFUNCTION("""COMPUTED_VALUE"""),"R")</f>
        <v>R</v>
      </c>
      <c r="AP25" s="103">
        <f ca="1">IFERROR(__xludf.DUMMYFUNCTION("""COMPUTED_VALUE"""),3)</f>
        <v>3</v>
      </c>
    </row>
    <row r="26" spans="1:42">
      <c r="A26" s="103">
        <f ca="1">IFERROR(__xludf.DUMMYFUNCTION("""COMPUTED_VALUE"""),2)</f>
        <v>2</v>
      </c>
      <c r="B26" s="103" t="str">
        <f ca="1">IFERROR(__xludf.DUMMYFUNCTION("""COMPUTED_VALUE"""),"ACC")</f>
        <v>ACC</v>
      </c>
      <c r="C26" s="103" t="str">
        <f ca="1">IFERROR(__xludf.DUMMYFUNCTION("""COMPUTED_VALUE"""),"R")</f>
        <v>R</v>
      </c>
      <c r="D26" s="103">
        <f ca="1">IFERROR(__xludf.DUMMYFUNCTION("""COMPUTED_VALUE"""),283105297)</f>
        <v>283105297</v>
      </c>
      <c r="E26" s="103" t="str">
        <f ca="1">IFERROR(__xludf.DUMMYFUNCTION("""COMPUTED_VALUE"""),"Swainson's Thrush")</f>
        <v>Swainson's Thrush</v>
      </c>
      <c r="F26" s="103" t="str">
        <f ca="1">IFERROR(__xludf.DUMMYFUNCTION("""COMPUTED_VALUE"""),"SWTH")</f>
        <v>SWTH</v>
      </c>
      <c r="G26" s="103">
        <f ca="1">IFERROR(__xludf.DUMMYFUNCTION("""COMPUTED_VALUE"""),1)</f>
        <v>1</v>
      </c>
      <c r="H26" s="103" t="str">
        <f ca="1">IFERROR(__xludf.DUMMYFUNCTION("""COMPUTED_VALUE"""),"P")</f>
        <v>P</v>
      </c>
      <c r="I26" s="103"/>
      <c r="J26" s="103" t="str">
        <f ca="1">IFERROR(__xludf.DUMMYFUNCTION("""COMPUTED_VALUE"""),"SCU")</f>
        <v>SCU</v>
      </c>
      <c r="K26" s="103" t="str">
        <f ca="1">IFERROR(__xludf.DUMMYFUNCTION("""COMPUTED_VALUE"""),"M")</f>
        <v>M</v>
      </c>
      <c r="L26" s="103" t="str">
        <f ca="1">IFERROR(__xludf.DUMMYFUNCTION("""COMPUTED_VALUE"""),"C")</f>
        <v>C</v>
      </c>
      <c r="M26" s="103"/>
      <c r="N26" s="103"/>
      <c r="O26" s="103">
        <f ca="1">IFERROR(__xludf.DUMMYFUNCTION("""COMPUTED_VALUE"""),3)</f>
        <v>3</v>
      </c>
      <c r="P26" s="103">
        <f ca="1">IFERROR(__xludf.DUMMYFUNCTION("""COMPUTED_VALUE"""),0)</f>
        <v>0</v>
      </c>
      <c r="Q26" s="103">
        <f ca="1">IFERROR(__xludf.DUMMYFUNCTION("""COMPUTED_VALUE"""),0)</f>
        <v>0</v>
      </c>
      <c r="R26" s="103">
        <f ca="1">IFERROR(__xludf.DUMMYFUNCTION("""COMPUTED_VALUE"""),0)</f>
        <v>0</v>
      </c>
      <c r="S26" s="103" t="str">
        <f ca="1">IFERROR(__xludf.DUMMYFUNCTION("""COMPUTED_VALUE"""),"N")</f>
        <v>N</v>
      </c>
      <c r="T26" s="103">
        <f ca="1">IFERROR(__xludf.DUMMYFUNCTION("""COMPUTED_VALUE"""),4)</f>
        <v>4</v>
      </c>
      <c r="U26" s="103"/>
      <c r="V26" s="103" t="str">
        <f ca="1">IFERROR(__xludf.DUMMYFUNCTION("""COMPUTED_VALUE"""),"B")</f>
        <v>B</v>
      </c>
      <c r="W26" s="103" t="str">
        <f ca="1">IFERROR(__xludf.DUMMYFUNCTION("""COMPUTED_VALUE"""),"B")</f>
        <v>B</v>
      </c>
      <c r="X26" s="103" t="str">
        <f ca="1">IFERROR(__xludf.DUMMYFUNCTION("""COMPUTED_VALUE"""),"B")</f>
        <v>B</v>
      </c>
      <c r="Y26" s="103" t="str">
        <f ca="1">IFERROR(__xludf.DUMMYFUNCTION("""COMPUTED_VALUE"""),"B")</f>
        <v>B</v>
      </c>
      <c r="Z26" s="103"/>
      <c r="AA26" s="103" t="str">
        <f ca="1">IFERROR(__xludf.DUMMYFUNCTION("""COMPUTED_VALUE"""),"B")</f>
        <v>B</v>
      </c>
      <c r="AB26" s="103"/>
      <c r="AC26" s="103"/>
      <c r="AD26" s="103">
        <f ca="1">IFERROR(__xludf.DUMMYFUNCTION("""COMPUTED_VALUE"""),105)</f>
        <v>105</v>
      </c>
      <c r="AE26" s="103">
        <f ca="1">IFERROR(__xludf.DUMMYFUNCTION("""COMPUTED_VALUE"""),29.4)</f>
        <v>29.4</v>
      </c>
      <c r="AF26" s="103">
        <f ca="1">IFERROR(__xludf.DUMMYFUNCTION("""COMPUTED_VALUE"""),300)</f>
        <v>300</v>
      </c>
      <c r="AG26" s="103">
        <f ca="1">IFERROR(__xludf.DUMMYFUNCTION("""COMPUTED_VALUE"""),6)</f>
        <v>6</v>
      </c>
      <c r="AH26" s="103">
        <f ca="1">IFERROR(__xludf.DUMMYFUNCTION("""COMPUTED_VALUE"""),7)</f>
        <v>7</v>
      </c>
      <c r="AI26" s="103">
        <f ca="1">IFERROR(__xludf.DUMMYFUNCTION("""COMPUTED_VALUE"""),740)</f>
        <v>740</v>
      </c>
      <c r="AJ26" s="103" t="str">
        <f ca="1">IFERROR(__xludf.DUMMYFUNCTION("""COMPUTED_VALUE"""),"MORS")</f>
        <v>MORS</v>
      </c>
      <c r="AK26" s="103">
        <f ca="1">IFERROR(__xludf.DUMMYFUNCTION("""COMPUTED_VALUE"""),2)</f>
        <v>2</v>
      </c>
      <c r="AL26" s="103"/>
      <c r="AM26" s="103">
        <f ca="1">IFERROR(__xludf.DUMMYFUNCTION("""COMPUTED_VALUE"""),2)</f>
        <v>2</v>
      </c>
      <c r="AN26" s="103" t="str">
        <f ca="1">IFERROR(__xludf.DUMMYFUNCTION("""COMPUTED_VALUE"""),"P10 3mm shorter than longest pcov, narrow and pointed. Missing 3 coverts on right wing.")</f>
        <v>P10 3mm shorter than longest pcov, narrow and pointed. Missing 3 coverts on right wing.</v>
      </c>
      <c r="AO26" s="57" t="str">
        <f ca="1">IFERROR(__xludf.DUMMYFUNCTION("""COMPUTED_VALUE"""),"R")</f>
        <v>R</v>
      </c>
      <c r="AP26" s="103">
        <f ca="1">IFERROR(__xludf.DUMMYFUNCTION("""COMPUTED_VALUE"""),3)</f>
        <v>3</v>
      </c>
    </row>
    <row r="27" spans="1:42">
      <c r="A27" s="103">
        <f ca="1">IFERROR(__xludf.DUMMYFUNCTION("""COMPUTED_VALUE"""),3)</f>
        <v>3</v>
      </c>
      <c r="B27" s="103" t="str">
        <f ca="1">IFERROR(__xludf.DUMMYFUNCTION("""COMPUTED_VALUE"""),"ACC")</f>
        <v>ACC</v>
      </c>
      <c r="C27" s="103" t="str">
        <f ca="1">IFERROR(__xludf.DUMMYFUNCTION("""COMPUTED_VALUE"""),"U")</f>
        <v>U</v>
      </c>
      <c r="D27" s="103"/>
      <c r="E27" s="103" t="str">
        <f ca="1">IFERROR(__xludf.DUMMYFUNCTION("""COMPUTED_VALUE"""),"Anna's Hummingbird")</f>
        <v>Anna's Hummingbird</v>
      </c>
      <c r="F27" s="103" t="str">
        <f ca="1">IFERROR(__xludf.DUMMYFUNCTION("""COMPUTED_VALUE"""),"ANHU")</f>
        <v>ANHU</v>
      </c>
      <c r="G27" s="103">
        <f ca="1">IFERROR(__xludf.DUMMYFUNCTION("""COMPUTED_VALUE"""),2)</f>
        <v>2</v>
      </c>
      <c r="H27" s="103" t="str">
        <f ca="1">IFERROR(__xludf.DUMMYFUNCTION("""COMPUTED_VALUE"""),"I")</f>
        <v>I</v>
      </c>
      <c r="I27" s="103"/>
      <c r="J27" s="103"/>
      <c r="K27" s="103" t="str">
        <f ca="1">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 ca="1">IFERROR(__xludf.DUMMYFUNCTION("""COMPUTED_VALUE"""),6)</f>
        <v>6</v>
      </c>
      <c r="AH27" s="103">
        <f ca="1">IFERROR(__xludf.DUMMYFUNCTION("""COMPUTED_VALUE"""),7)</f>
        <v>7</v>
      </c>
      <c r="AI27" s="103">
        <f ca="1">IFERROR(__xludf.DUMMYFUNCTION("""COMPUTED_VALUE"""),810)</f>
        <v>810</v>
      </c>
      <c r="AJ27" s="103" t="str">
        <f ca="1">IFERROR(__xludf.DUMMYFUNCTION("""COMPUTED_VALUE"""),"MORS")</f>
        <v>MORS</v>
      </c>
      <c r="AK27" s="103">
        <f ca="1">IFERROR(__xludf.DUMMYFUNCTION("""COMPUTED_VALUE"""),6)</f>
        <v>6</v>
      </c>
      <c r="AL27" s="103"/>
      <c r="AM27" s="103"/>
      <c r="AN27" s="103"/>
      <c r="AO27" s="57" t="str">
        <f ca="1">IFERROR(__xludf.DUMMYFUNCTION("""COMPUTED_VALUE"""),"U")</f>
        <v>U</v>
      </c>
      <c r="AP27" s="103">
        <f ca="1">IFERROR(__xludf.DUMMYFUNCTION("""COMPUTED_VALUE"""),3)</f>
        <v>3</v>
      </c>
    </row>
    <row r="28" spans="1:42">
      <c r="A28" s="103">
        <f ca="1">IFERROR(__xludf.DUMMYFUNCTION("""COMPUTED_VALUE"""),4)</f>
        <v>4</v>
      </c>
      <c r="B28" s="103" t="str">
        <f ca="1">IFERROR(__xludf.DUMMYFUNCTION("""COMPUTED_VALUE"""),"ACC")</f>
        <v>ACC</v>
      </c>
      <c r="C28" s="103" t="str">
        <f ca="1">IFERROR(__xludf.DUMMYFUNCTION("""COMPUTED_VALUE"""),"U")</f>
        <v>U</v>
      </c>
      <c r="D28" s="103"/>
      <c r="E28" s="103" t="str">
        <f ca="1">IFERROR(__xludf.DUMMYFUNCTION("""COMPUTED_VALUE"""),"Anna's Hummingbird")</f>
        <v>Anna's Hummingbird</v>
      </c>
      <c r="F28" s="103" t="str">
        <f ca="1">IFERROR(__xludf.DUMMYFUNCTION("""COMPUTED_VALUE"""),"ANHU")</f>
        <v>ANHU</v>
      </c>
      <c r="G28" s="103">
        <f ca="1">IFERROR(__xludf.DUMMYFUNCTION("""COMPUTED_VALUE"""),1)</f>
        <v>1</v>
      </c>
      <c r="H28" s="103" t="str">
        <f ca="1">IFERROR(__xludf.DUMMYFUNCTION("""COMPUTED_VALUE"""),"P")</f>
        <v>P</v>
      </c>
      <c r="I28" s="103" t="str">
        <f ca="1">IFERROR(__xludf.DUMMYFUNCTION("""COMPUTED_VALUE"""),"I")</f>
        <v>I</v>
      </c>
      <c r="J28" s="103"/>
      <c r="K28" s="103" t="str">
        <f ca="1">IFERROR(__xludf.DUMMYFUNCTION("""COMPUTED_VALUE"""),"F")</f>
        <v>F</v>
      </c>
      <c r="L28" s="103" t="str">
        <f ca="1">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 ca="1">IFERROR(__xludf.DUMMYFUNCTION("""COMPUTED_VALUE"""),6)</f>
        <v>6</v>
      </c>
      <c r="AH28" s="103">
        <f ca="1">IFERROR(__xludf.DUMMYFUNCTION("""COMPUTED_VALUE"""),7)</f>
        <v>7</v>
      </c>
      <c r="AI28" s="103">
        <f ca="1">IFERROR(__xludf.DUMMYFUNCTION("""COMPUTED_VALUE"""),810)</f>
        <v>810</v>
      </c>
      <c r="AJ28" s="103" t="str">
        <f ca="1">IFERROR(__xludf.DUMMYFUNCTION("""COMPUTED_VALUE"""),"MORS")</f>
        <v>MORS</v>
      </c>
      <c r="AK28" s="103">
        <f ca="1">IFERROR(__xludf.DUMMYFUNCTION("""COMPUTED_VALUE"""),6)</f>
        <v>6</v>
      </c>
      <c r="AL28" s="103"/>
      <c r="AM28" s="103"/>
      <c r="AN28" s="103"/>
      <c r="AO28" s="57" t="str">
        <f ca="1">IFERROR(__xludf.DUMMYFUNCTION("""COMPUTED_VALUE"""),"U")</f>
        <v>U</v>
      </c>
      <c r="AP28" s="103">
        <f ca="1">IFERROR(__xludf.DUMMYFUNCTION("""COMPUTED_VALUE"""),3)</f>
        <v>3</v>
      </c>
    </row>
    <row r="29" spans="1:42">
      <c r="A29" s="103">
        <f ca="1">IFERROR(__xludf.DUMMYFUNCTION("""COMPUTED_VALUE"""),5)</f>
        <v>5</v>
      </c>
      <c r="B29" s="103" t="str">
        <f ca="1">IFERROR(__xludf.DUMMYFUNCTION("""COMPUTED_VALUE"""),"ACC")</f>
        <v>ACC</v>
      </c>
      <c r="C29" s="103" t="str">
        <f ca="1">IFERROR(__xludf.DUMMYFUNCTION("""COMPUTED_VALUE"""),"R")</f>
        <v>R</v>
      </c>
      <c r="D29" s="103">
        <f ca="1">IFERROR(__xludf.DUMMYFUNCTION("""COMPUTED_VALUE"""),290063531)</f>
        <v>290063531</v>
      </c>
      <c r="E29" s="103" t="str">
        <f ca="1">IFERROR(__xludf.DUMMYFUNCTION("""COMPUTED_VALUE"""),"Bushtit")</f>
        <v>Bushtit</v>
      </c>
      <c r="F29" s="103" t="str">
        <f ca="1">IFERROR(__xludf.DUMMYFUNCTION("""COMPUTED_VALUE"""),"BUSH")</f>
        <v>BUSH</v>
      </c>
      <c r="G29" s="103">
        <f ca="1">IFERROR(__xludf.DUMMYFUNCTION("""COMPUTED_VALUE"""),1)</f>
        <v>1</v>
      </c>
      <c r="H29" s="103" t="str">
        <f ca="1">IFERROR(__xludf.DUMMYFUNCTION("""COMPUTED_VALUE"""),"P")</f>
        <v>P</v>
      </c>
      <c r="I29" s="103"/>
      <c r="J29" s="103"/>
      <c r="K29" s="103" t="str">
        <f ca="1">IFERROR(__xludf.DUMMYFUNCTION("""COMPUTED_VALUE"""),"U")</f>
        <v>U</v>
      </c>
      <c r="L29" s="103"/>
      <c r="M29" s="103"/>
      <c r="N29" s="103">
        <f ca="1">IFERROR(__xludf.DUMMYFUNCTION("""COMPUTED_VALUE"""),8)</f>
        <v>8</v>
      </c>
      <c r="O29" s="103"/>
      <c r="P29" s="103"/>
      <c r="Q29" s="103"/>
      <c r="R29" s="103"/>
      <c r="S29" s="103" t="str">
        <f ca="1">IFERROR(__xludf.DUMMYFUNCTION("""COMPUTED_VALUE"""),"N")</f>
        <v>N</v>
      </c>
      <c r="T29" s="103">
        <f ca="1">IFERROR(__xludf.DUMMYFUNCTION("""COMPUTED_VALUE"""),2)</f>
        <v>2</v>
      </c>
      <c r="U29" s="103"/>
      <c r="V29" s="103"/>
      <c r="W29" s="103"/>
      <c r="X29" s="103"/>
      <c r="Y29" s="103"/>
      <c r="Z29" s="103"/>
      <c r="AA29" s="103"/>
      <c r="AB29" s="103"/>
      <c r="AC29" s="103" t="str">
        <f ca="1">IFERROR(__xludf.DUMMYFUNCTION("""COMPUTED_VALUE"""),"E")</f>
        <v>E</v>
      </c>
      <c r="AD29" s="103">
        <f ca="1">IFERROR(__xludf.DUMMYFUNCTION("""COMPUTED_VALUE"""),47)</f>
        <v>47</v>
      </c>
      <c r="AE29" s="103">
        <f ca="1">IFERROR(__xludf.DUMMYFUNCTION("""COMPUTED_VALUE"""),5.6)</f>
        <v>5.6</v>
      </c>
      <c r="AF29" s="103">
        <f ca="1">IFERROR(__xludf.DUMMYFUNCTION("""COMPUTED_VALUE"""),300)</f>
        <v>300</v>
      </c>
      <c r="AG29" s="103">
        <f ca="1">IFERROR(__xludf.DUMMYFUNCTION("""COMPUTED_VALUE"""),6)</f>
        <v>6</v>
      </c>
      <c r="AH29" s="103">
        <f ca="1">IFERROR(__xludf.DUMMYFUNCTION("""COMPUTED_VALUE"""),7)</f>
        <v>7</v>
      </c>
      <c r="AI29" s="103">
        <f ca="1">IFERROR(__xludf.DUMMYFUNCTION("""COMPUTED_VALUE"""),810)</f>
        <v>810</v>
      </c>
      <c r="AJ29" s="103" t="str">
        <f ca="1">IFERROR(__xludf.DUMMYFUNCTION("""COMPUTED_VALUE"""),"MORS")</f>
        <v>MORS</v>
      </c>
      <c r="AK29" s="103">
        <f ca="1">IFERROR(__xludf.DUMMYFUNCTION("""COMPUTED_VALUE"""),14)</f>
        <v>14</v>
      </c>
      <c r="AL29" s="103"/>
      <c r="AM29" s="103">
        <f ca="1">IFERROR(__xludf.DUMMYFUNCTION("""COMPUTED_VALUE"""),3)</f>
        <v>3</v>
      </c>
      <c r="AN29" s="103" t="str">
        <f ca="1">IFERROR(__xludf.DUMMYFUNCTION("""COMPUTED_VALUE"""),"dark eye")</f>
        <v>dark eye</v>
      </c>
      <c r="AO29" s="57" t="str">
        <f ca="1">IFERROR(__xludf.DUMMYFUNCTION("""COMPUTED_VALUE"""),"R")</f>
        <v>R</v>
      </c>
      <c r="AP29" s="103">
        <f ca="1">IFERROR(__xludf.DUMMYFUNCTION("""COMPUTED_VALUE"""),3)</f>
        <v>3</v>
      </c>
    </row>
    <row r="30" spans="1:42">
      <c r="A30" s="103">
        <f ca="1">IFERROR(__xludf.DUMMYFUNCTION("""COMPUTED_VALUE"""),6)</f>
        <v>6</v>
      </c>
      <c r="B30" s="103" t="str">
        <f ca="1">IFERROR(__xludf.DUMMYFUNCTION("""COMPUTED_VALUE"""),"ACC")</f>
        <v>ACC</v>
      </c>
      <c r="C30" s="103" t="str">
        <f ca="1">IFERROR(__xludf.DUMMYFUNCTION("""COMPUTED_VALUE"""),"U")</f>
        <v>U</v>
      </c>
      <c r="D30" s="103"/>
      <c r="E30" s="103" t="str">
        <f ca="1">IFERROR(__xludf.DUMMYFUNCTION("""COMPUTED_VALUE"""),"Rufus Hummingbird")</f>
        <v>Rufus Hummingbird</v>
      </c>
      <c r="F30" s="103" t="str">
        <f ca="1">IFERROR(__xludf.DUMMYFUNCTION("""COMPUTED_VALUE"""),"RUHU")</f>
        <v>RUHU</v>
      </c>
      <c r="G30" s="103">
        <f ca="1">IFERROR(__xludf.DUMMYFUNCTION("""COMPUTED_VALUE"""),2)</f>
        <v>2</v>
      </c>
      <c r="H30" s="103" t="str">
        <f ca="1">IFERROR(__xludf.DUMMYFUNCTION("""COMPUTED_VALUE"""),"P")</f>
        <v>P</v>
      </c>
      <c r="I30" s="103"/>
      <c r="J30" s="103"/>
      <c r="K30" s="103" t="str">
        <f ca="1">IFERROR(__xludf.DUMMYFUNCTION("""COMPUTED_VALUE"""),"M")</f>
        <v>M</v>
      </c>
      <c r="L30" s="103" t="str">
        <f ca="1">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 ca="1">IFERROR(__xludf.DUMMYFUNCTION("""COMPUTED_VALUE"""),6)</f>
        <v>6</v>
      </c>
      <c r="AH30" s="103">
        <f ca="1">IFERROR(__xludf.DUMMYFUNCTION("""COMPUTED_VALUE"""),7)</f>
        <v>7</v>
      </c>
      <c r="AI30" s="103">
        <f ca="1">IFERROR(__xludf.DUMMYFUNCTION("""COMPUTED_VALUE"""),10)</f>
        <v>10</v>
      </c>
      <c r="AJ30" s="103" t="str">
        <f ca="1">IFERROR(__xludf.DUMMYFUNCTION("""COMPUTED_VALUE"""),"MORS")</f>
        <v>MORS</v>
      </c>
      <c r="AK30" s="103">
        <f ca="1">IFERROR(__xludf.DUMMYFUNCTION("""COMPUTED_VALUE"""),21)</f>
        <v>21</v>
      </c>
      <c r="AL30" s="103"/>
      <c r="AM30" s="103">
        <f ca="1">IFERROR(__xludf.DUMMYFUNCTION("""COMPUTED_VALUE"""),4)</f>
        <v>4</v>
      </c>
      <c r="AN30" s="103" t="str">
        <f ca="1">IFERROR(__xludf.DUMMYFUNCTION("""COMPUTED_VALUE"""),"Bill 50% corregations")</f>
        <v>Bill 50% corregations</v>
      </c>
      <c r="AO30" s="57" t="str">
        <f ca="1">IFERROR(__xludf.DUMMYFUNCTION("""COMPUTED_VALUE"""),"U")</f>
        <v>U</v>
      </c>
      <c r="AP30" s="103">
        <f ca="1">IFERROR(__xludf.DUMMYFUNCTION("""COMPUTED_VALUE"""),3)</f>
        <v>3</v>
      </c>
    </row>
    <row r="31" spans="1:42">
      <c r="A31" s="103">
        <f ca="1">IFERROR(__xludf.DUMMYFUNCTION("""COMPUTED_VALUE"""),7)</f>
        <v>7</v>
      </c>
      <c r="B31" s="103" t="str">
        <f ca="1">IFERROR(__xludf.DUMMYFUNCTION("""COMPUTED_VALUE"""),"ACC")</f>
        <v>ACC</v>
      </c>
      <c r="C31" s="103" t="str">
        <f ca="1">IFERROR(__xludf.DUMMYFUNCTION("""COMPUTED_VALUE"""),"N")</f>
        <v>N</v>
      </c>
      <c r="D31" s="103">
        <f ca="1">IFERROR(__xludf.DUMMYFUNCTION("""COMPUTED_VALUE"""),288029937)</f>
        <v>288029937</v>
      </c>
      <c r="E31" s="103" t="str">
        <f ca="1">IFERROR(__xludf.DUMMYFUNCTION("""COMPUTED_VALUE"""),"Yellow Warbler")</f>
        <v>Yellow Warbler</v>
      </c>
      <c r="F31" s="103" t="str">
        <f ca="1">IFERROR(__xludf.DUMMYFUNCTION("""COMPUTED_VALUE"""),"YEWA")</f>
        <v>YEWA</v>
      </c>
      <c r="G31" s="103">
        <f ca="1">IFERROR(__xludf.DUMMYFUNCTION("""COMPUTED_VALUE"""),5)</f>
        <v>5</v>
      </c>
      <c r="H31" s="103" t="str">
        <f ca="1">IFERROR(__xludf.DUMMYFUNCTION("""COMPUTED_VALUE"""),"I")</f>
        <v>I</v>
      </c>
      <c r="I31" s="103"/>
      <c r="J31" s="103" t="str">
        <f ca="1">IFERROR(__xludf.DUMMYFUNCTION("""COMPUTED_VALUE"""),"FCF")</f>
        <v>FCF</v>
      </c>
      <c r="K31" s="103" t="str">
        <f ca="1">IFERROR(__xludf.DUMMYFUNCTION("""COMPUTED_VALUE"""),"F")</f>
        <v>F</v>
      </c>
      <c r="L31" s="103" t="str">
        <f ca="1">IFERROR(__xludf.DUMMYFUNCTION("""COMPUTED_VALUE"""),"B")</f>
        <v>B</v>
      </c>
      <c r="M31" s="103"/>
      <c r="N31" s="103"/>
      <c r="O31" s="103">
        <f ca="1">IFERROR(__xludf.DUMMYFUNCTION("""COMPUTED_VALUE"""),0)</f>
        <v>0</v>
      </c>
      <c r="P31" s="103">
        <f ca="1">IFERROR(__xludf.DUMMYFUNCTION("""COMPUTED_VALUE"""),2)</f>
        <v>2</v>
      </c>
      <c r="Q31" s="103">
        <f ca="1">IFERROR(__xludf.DUMMYFUNCTION("""COMPUTED_VALUE"""),2)</f>
        <v>2</v>
      </c>
      <c r="R31" s="103">
        <f ca="1">IFERROR(__xludf.DUMMYFUNCTION("""COMPUTED_VALUE"""),0)</f>
        <v>0</v>
      </c>
      <c r="S31" s="103" t="str">
        <f ca="1">IFERROR(__xludf.DUMMYFUNCTION("""COMPUTED_VALUE"""),"N")</f>
        <v>N</v>
      </c>
      <c r="T31" s="103">
        <f ca="1">IFERROR(__xludf.DUMMYFUNCTION("""COMPUTED_VALUE"""),3)</f>
        <v>3</v>
      </c>
      <c r="U31" s="103"/>
      <c r="V31" s="103" t="str">
        <f ca="1">IFERROR(__xludf.DUMMYFUNCTION("""COMPUTED_VALUE"""),"J")</f>
        <v>J</v>
      </c>
      <c r="W31" s="103" t="str">
        <f ca="1">IFERROR(__xludf.DUMMYFUNCTION("""COMPUTED_VALUE"""),"F")</f>
        <v>F</v>
      </c>
      <c r="X31" s="103"/>
      <c r="Y31" s="103"/>
      <c r="Z31" s="103"/>
      <c r="AA31" s="103"/>
      <c r="AB31" s="103"/>
      <c r="AC31" s="103"/>
      <c r="AD31" s="103">
        <f ca="1">IFERROR(__xludf.DUMMYFUNCTION("""COMPUTED_VALUE"""),60)</f>
        <v>60</v>
      </c>
      <c r="AE31" s="103">
        <f ca="1">IFERROR(__xludf.DUMMYFUNCTION("""COMPUTED_VALUE"""),9.6)</f>
        <v>9.6</v>
      </c>
      <c r="AF31" s="103">
        <f ca="1">IFERROR(__xludf.DUMMYFUNCTION("""COMPUTED_VALUE"""),300)</f>
        <v>300</v>
      </c>
      <c r="AG31" s="103">
        <f ca="1">IFERROR(__xludf.DUMMYFUNCTION("""COMPUTED_VALUE"""),6)</f>
        <v>6</v>
      </c>
      <c r="AH31" s="103">
        <f ca="1">IFERROR(__xludf.DUMMYFUNCTION("""COMPUTED_VALUE"""),7)</f>
        <v>7</v>
      </c>
      <c r="AI31" s="103">
        <f ca="1">IFERROR(__xludf.DUMMYFUNCTION("""COMPUTED_VALUE"""),1030)</f>
        <v>1030</v>
      </c>
      <c r="AJ31" s="103" t="str">
        <f ca="1">IFERROR(__xludf.DUMMYFUNCTION("""COMPUTED_VALUE"""),"MORS")</f>
        <v>MORS</v>
      </c>
      <c r="AK31" s="103">
        <f ca="1">IFERROR(__xludf.DUMMYFUNCTION("""COMPUTED_VALUE"""),20)</f>
        <v>20</v>
      </c>
      <c r="AL31" s="103"/>
      <c r="AM31" s="103">
        <f ca="1">IFERROR(__xludf.DUMMYFUNCTION("""COMPUTED_VALUE"""),5)</f>
        <v>5</v>
      </c>
      <c r="AN31" s="103" t="str">
        <f ca="1">IFERROR(__xludf.DUMMYFUNCTION("""COMPUTED_VALUE"""),"Rects are ""B"" on figure 263")</f>
        <v>Rects are "B" on figure 263</v>
      </c>
      <c r="AO31" s="57">
        <f ca="1">IFERROR(__xludf.DUMMYFUNCTION("""COMPUTED_VALUE"""),0)</f>
        <v>0</v>
      </c>
      <c r="AP31" s="103">
        <f ca="1">IFERROR(__xludf.DUMMYFUNCTION("""COMPUTED_VALUE"""),3)</f>
        <v>3</v>
      </c>
    </row>
    <row r="32" spans="1:42">
      <c r="A32" s="103">
        <f ca="1">IFERROR(__xludf.DUMMYFUNCTION("""COMPUTED_VALUE"""),8)</f>
        <v>8</v>
      </c>
      <c r="B32" s="103" t="str">
        <f ca="1">IFERROR(__xludf.DUMMYFUNCTION("""COMPUTED_VALUE"""),"ACC")</f>
        <v>ACC</v>
      </c>
      <c r="C32" s="103" t="str">
        <f ca="1">IFERROR(__xludf.DUMMYFUNCTION("""COMPUTED_VALUE"""),"R")</f>
        <v>R</v>
      </c>
      <c r="D32" s="103">
        <f ca="1">IFERROR(__xludf.DUMMYFUNCTION("""COMPUTED_VALUE"""),291032212)</f>
        <v>291032212</v>
      </c>
      <c r="E32" s="103" t="str">
        <f ca="1">IFERROR(__xludf.DUMMYFUNCTION("""COMPUTED_VALUE"""),"Common Yellowthroat")</f>
        <v>Common Yellowthroat</v>
      </c>
      <c r="F32" s="103" t="str">
        <f ca="1">IFERROR(__xludf.DUMMYFUNCTION("""COMPUTED_VALUE"""),"COYE")</f>
        <v>COYE</v>
      </c>
      <c r="G32" s="103">
        <f ca="1">IFERROR(__xludf.DUMMYFUNCTION("""COMPUTED_VALUE"""),1)</f>
        <v>1</v>
      </c>
      <c r="H32" s="103" t="str">
        <f ca="1">IFERROR(__xludf.DUMMYFUNCTION("""COMPUTED_VALUE"""),"P")</f>
        <v>P</v>
      </c>
      <c r="I32" s="103" t="str">
        <f ca="1">IFERROR(__xludf.DUMMYFUNCTION("""COMPUTED_VALUE"""),"B")</f>
        <v>B</v>
      </c>
      <c r="J32" s="103" t="str">
        <f ca="1">IFERROR(__xludf.DUMMYFUNCTION("""COMPUTED_VALUE"""),"DCB")</f>
        <v>DCB</v>
      </c>
      <c r="K32" s="103" t="str">
        <f ca="1">IFERROR(__xludf.DUMMYFUNCTION("""COMPUTED_VALUE"""),"F")</f>
        <v>F</v>
      </c>
      <c r="L32" s="103" t="str">
        <f ca="1">IFERROR(__xludf.DUMMYFUNCTION("""COMPUTED_VALUE"""),"B")</f>
        <v>B</v>
      </c>
      <c r="M32" s="103"/>
      <c r="N32" s="103"/>
      <c r="O32" s="103">
        <f ca="1">IFERROR(__xludf.DUMMYFUNCTION("""COMPUTED_VALUE"""),0)</f>
        <v>0</v>
      </c>
      <c r="P32" s="103">
        <f ca="1">IFERROR(__xludf.DUMMYFUNCTION("""COMPUTED_VALUE"""),1)</f>
        <v>1</v>
      </c>
      <c r="Q32" s="103">
        <f ca="1">IFERROR(__xludf.DUMMYFUNCTION("""COMPUTED_VALUE"""),1)</f>
        <v>1</v>
      </c>
      <c r="R32" s="103"/>
      <c r="S32" s="103" t="str">
        <f ca="1">IFERROR(__xludf.DUMMYFUNCTION("""COMPUTED_VALUE"""),"N")</f>
        <v>N</v>
      </c>
      <c r="T32" s="103">
        <f ca="1">IFERROR(__xludf.DUMMYFUNCTION("""COMPUTED_VALUE"""),4)</f>
        <v>4</v>
      </c>
      <c r="U32" s="103"/>
      <c r="V32" s="103"/>
      <c r="W32" s="103"/>
      <c r="X32" s="103"/>
      <c r="Y32" s="103"/>
      <c r="Z32" s="103"/>
      <c r="AA32" s="103"/>
      <c r="AB32" s="103"/>
      <c r="AC32" s="103"/>
      <c r="AD32" s="103">
        <f ca="1">IFERROR(__xludf.DUMMYFUNCTION("""COMPUTED_VALUE"""),52)</f>
        <v>52</v>
      </c>
      <c r="AE32" s="103">
        <f ca="1">IFERROR(__xludf.DUMMYFUNCTION("""COMPUTED_VALUE"""),9.6)</f>
        <v>9.6</v>
      </c>
      <c r="AF32" s="103">
        <f ca="1">IFERROR(__xludf.DUMMYFUNCTION("""COMPUTED_VALUE"""),300)</f>
        <v>300</v>
      </c>
      <c r="AG32" s="103">
        <f ca="1">IFERROR(__xludf.DUMMYFUNCTION("""COMPUTED_VALUE"""),6)</f>
        <v>6</v>
      </c>
      <c r="AH32" s="103">
        <f ca="1">IFERROR(__xludf.DUMMYFUNCTION("""COMPUTED_VALUE"""),7)</f>
        <v>7</v>
      </c>
      <c r="AI32" s="103">
        <f ca="1">IFERROR(__xludf.DUMMYFUNCTION("""COMPUTED_VALUE"""),1130)</f>
        <v>1130</v>
      </c>
      <c r="AJ32" s="103" t="str">
        <f ca="1">IFERROR(__xludf.DUMMYFUNCTION("""COMPUTED_VALUE"""),"MORS")</f>
        <v>MORS</v>
      </c>
      <c r="AK32" s="103">
        <f ca="1">IFERROR(__xludf.DUMMYFUNCTION("""COMPUTED_VALUE"""),21)</f>
        <v>21</v>
      </c>
      <c r="AL32" s="103"/>
      <c r="AM32" s="103">
        <f ca="1">IFERROR(__xludf.DUMMYFUNCTION("""COMPUTED_VALUE"""),6)</f>
        <v>6</v>
      </c>
      <c r="AN32" s="103" t="str">
        <f ca="1">IFERROR(__xludf.DUMMYFUNCTION("""COMPUTED_VALUE"""),"Rects are extremly worn. Very slight browinish wash to forehead")</f>
        <v>Rects are extremly worn. Very slight browinish wash to forehead</v>
      </c>
      <c r="AO32" s="57" t="str">
        <f ca="1">IFERROR(__xludf.DUMMYFUNCTION("""COMPUTED_VALUE"""),"R")</f>
        <v>R</v>
      </c>
      <c r="AP32" s="103">
        <f ca="1">IFERROR(__xludf.DUMMYFUNCTION("""COMPUTED_VALUE"""),3)</f>
        <v>3</v>
      </c>
    </row>
    <row r="33" spans="1:42">
      <c r="A33" s="103">
        <f ca="1">IFERROR(__xludf.DUMMYFUNCTION("""COMPUTED_VALUE"""),1)</f>
        <v>1</v>
      </c>
      <c r="B33" s="103" t="str">
        <f ca="1">IFERROR(__xludf.DUMMYFUNCTION("""COMPUTED_VALUE"""),"JHT")</f>
        <v>JHT</v>
      </c>
      <c r="C33" s="103" t="str">
        <f ca="1">IFERROR(__xludf.DUMMYFUNCTION("""COMPUTED_VALUE"""),"R")</f>
        <v>R</v>
      </c>
      <c r="D33" s="103">
        <f ca="1">IFERROR(__xludf.DUMMYFUNCTION("""COMPUTED_VALUE"""),283105242)</f>
        <v>283105242</v>
      </c>
      <c r="E33" s="103" t="str">
        <f ca="1">IFERROR(__xludf.DUMMYFUNCTION("""COMPUTED_VALUE"""),"Swainson's Thrush")</f>
        <v>Swainson's Thrush</v>
      </c>
      <c r="F33" s="103" t="str">
        <f ca="1">IFERROR(__xludf.DUMMYFUNCTION("""COMPUTED_VALUE"""),"SWTH")</f>
        <v>SWTH</v>
      </c>
      <c r="G33" s="103">
        <f ca="1">IFERROR(__xludf.DUMMYFUNCTION("""COMPUTED_VALUE"""),1)</f>
        <v>1</v>
      </c>
      <c r="H33" s="103" t="str">
        <f ca="1">IFERROR(__xludf.DUMMYFUNCTION("""COMPUTED_VALUE"""),"S")</f>
        <v>S</v>
      </c>
      <c r="I33" s="103" t="str">
        <f ca="1">IFERROR(__xludf.DUMMYFUNCTION("""COMPUTED_VALUE"""),"B")</f>
        <v>B</v>
      </c>
      <c r="J33" s="103" t="str">
        <f ca="1">IFERROR(__xludf.DUMMYFUNCTION("""COMPUTED_VALUE"""),"UAJ")</f>
        <v>UAJ</v>
      </c>
      <c r="K33" s="103" t="str">
        <f ca="1">IFERROR(__xludf.DUMMYFUNCTION("""COMPUTED_VALUE"""),"F")</f>
        <v>F</v>
      </c>
      <c r="L33" s="103" t="str">
        <f ca="1">IFERROR(__xludf.DUMMYFUNCTION("""COMPUTED_VALUE"""),"B")</f>
        <v>B</v>
      </c>
      <c r="M33" s="103" t="str">
        <f ca="1">IFERROR(__xludf.DUMMYFUNCTION("""COMPUTED_VALUE"""),"P")</f>
        <v>P</v>
      </c>
      <c r="N33" s="103">
        <f ca="1">IFERROR(__xludf.DUMMYFUNCTION("""COMPUTED_VALUE"""),5)</f>
        <v>5</v>
      </c>
      <c r="O33" s="103">
        <f ca="1">IFERROR(__xludf.DUMMYFUNCTION("""COMPUTED_VALUE"""),0)</f>
        <v>0</v>
      </c>
      <c r="P33" s="103">
        <f ca="1">IFERROR(__xludf.DUMMYFUNCTION("""COMPUTED_VALUE"""),4)</f>
        <v>4</v>
      </c>
      <c r="Q33" s="103">
        <f ca="1">IFERROR(__xludf.DUMMYFUNCTION("""COMPUTED_VALUE"""),1)</f>
        <v>1</v>
      </c>
      <c r="R33" s="103">
        <f ca="1">IFERROR(__xludf.DUMMYFUNCTION("""COMPUTED_VALUE"""),0)</f>
        <v>0</v>
      </c>
      <c r="S33" s="103" t="str">
        <f ca="1">IFERROR(__xludf.DUMMYFUNCTION("""COMPUTED_VALUE"""),"N")</f>
        <v>N</v>
      </c>
      <c r="T33" s="103">
        <f ca="1">IFERROR(__xludf.DUMMYFUNCTION("""COMPUTED_VALUE"""),1)</f>
        <v>1</v>
      </c>
      <c r="U33" s="103"/>
      <c r="V33" s="103" t="str">
        <f ca="1">IFERROR(__xludf.DUMMYFUNCTION("""COMPUTED_VALUE"""),"B")</f>
        <v>B</v>
      </c>
      <c r="W33" s="103" t="str">
        <f ca="1">IFERROR(__xludf.DUMMYFUNCTION("""COMPUTED_VALUE"""),"U")</f>
        <v>U</v>
      </c>
      <c r="X33" s="103" t="str">
        <f ca="1">IFERROR(__xludf.DUMMYFUNCTION("""COMPUTED_VALUE"""),"B")</f>
        <v>B</v>
      </c>
      <c r="Y33" s="103"/>
      <c r="Z33" s="103"/>
      <c r="AA33" s="103" t="str">
        <f ca="1">IFERROR(__xludf.DUMMYFUNCTION("""COMPUTED_VALUE"""),"U")</f>
        <v>U</v>
      </c>
      <c r="AB33" s="103"/>
      <c r="AC33" s="103"/>
      <c r="AD33" s="103">
        <f ca="1">IFERROR(__xludf.DUMMYFUNCTION("""COMPUTED_VALUE"""),94)</f>
        <v>94</v>
      </c>
      <c r="AE33" s="103">
        <f ca="1">IFERROR(__xludf.DUMMYFUNCTION("""COMPUTED_VALUE"""),32.9)</f>
        <v>32.9</v>
      </c>
      <c r="AF33" s="103">
        <f ca="1">IFERROR(__xludf.DUMMYFUNCTION("""COMPUTED_VALUE"""),300)</f>
        <v>300</v>
      </c>
      <c r="AG33" s="103">
        <f ca="1">IFERROR(__xludf.DUMMYFUNCTION("""COMPUTED_VALUE"""),6)</f>
        <v>6</v>
      </c>
      <c r="AH33" s="103">
        <f ca="1">IFERROR(__xludf.DUMMYFUNCTION("""COMPUTED_VALUE"""),7)</f>
        <v>7</v>
      </c>
      <c r="AI33" s="103">
        <f ca="1">IFERROR(__xludf.DUMMYFUNCTION("""COMPUTED_VALUE"""),630)</f>
        <v>630</v>
      </c>
      <c r="AJ33" s="103" t="str">
        <f ca="1">IFERROR(__xludf.DUMMYFUNCTION("""COMPUTED_VALUE"""),"MORS")</f>
        <v>MORS</v>
      </c>
      <c r="AK33" s="103">
        <f ca="1">IFERROR(__xludf.DUMMYFUNCTION("""COMPUTED_VALUE"""),9)</f>
        <v>9</v>
      </c>
      <c r="AL33" s="103"/>
      <c r="AM33" s="103"/>
      <c r="AN33" s="103"/>
      <c r="AO33" s="57" t="str">
        <f ca="1">IFERROR(__xludf.DUMMYFUNCTION("""COMPUTED_VALUE"""),"R")</f>
        <v>R</v>
      </c>
      <c r="AP33" s="103">
        <f ca="1">IFERROR(__xludf.DUMMYFUNCTION("""COMPUTED_VALUE"""),4)</f>
        <v>4</v>
      </c>
    </row>
    <row r="34" spans="1:42">
      <c r="A34" s="103">
        <f ca="1">IFERROR(__xludf.DUMMYFUNCTION("""COMPUTED_VALUE"""),2)</f>
        <v>2</v>
      </c>
      <c r="B34" s="103" t="str">
        <f ca="1">IFERROR(__xludf.DUMMYFUNCTION("""COMPUTED_VALUE"""),"JHT")</f>
        <v>JHT</v>
      </c>
      <c r="C34" s="103" t="str">
        <f ca="1">IFERROR(__xludf.DUMMYFUNCTION("""COMPUTED_VALUE"""),"N")</f>
        <v>N</v>
      </c>
      <c r="D34" s="103">
        <f ca="1">IFERROR(__xludf.DUMMYFUNCTION("""COMPUTED_VALUE"""),290077827)</f>
        <v>290077827</v>
      </c>
      <c r="E34" s="103" t="str">
        <f ca="1">IFERROR(__xludf.DUMMYFUNCTION("""COMPUTED_VALUE"""),"Orange-crowned Warbler")</f>
        <v>Orange-crowned Warbler</v>
      </c>
      <c r="F34" s="103" t="str">
        <f ca="1">IFERROR(__xludf.DUMMYFUNCTION("""COMPUTED_VALUE"""),"OCWA")</f>
        <v>OCWA</v>
      </c>
      <c r="G34" s="103">
        <f ca="1">IFERROR(__xludf.DUMMYFUNCTION("""COMPUTED_VALUE"""),1)</f>
        <v>1</v>
      </c>
      <c r="H34" s="103" t="str">
        <f ca="1">IFERROR(__xludf.DUMMYFUNCTION("""COMPUTED_VALUE"""),"S")</f>
        <v>S</v>
      </c>
      <c r="I34" s="103" t="str">
        <f ca="1">IFERROR(__xludf.DUMMYFUNCTION("""COMPUTED_VALUE"""),"C")</f>
        <v>C</v>
      </c>
      <c r="J34" s="103" t="str">
        <f ca="1">IFERROR(__xludf.DUMMYFUNCTION("""COMPUTED_VALUE"""),"UAJ")</f>
        <v>UAJ</v>
      </c>
      <c r="K34" s="103" t="str">
        <f ca="1">IFERROR(__xludf.DUMMYFUNCTION("""COMPUTED_VALUE"""),"M")</f>
        <v>M</v>
      </c>
      <c r="L34" s="103" t="str">
        <f ca="1">IFERROR(__xludf.DUMMYFUNCTION("""COMPUTED_VALUE"""),"C")</f>
        <v>C</v>
      </c>
      <c r="M34" s="103" t="str">
        <f ca="1">IFERROR(__xludf.DUMMYFUNCTION("""COMPUTED_VALUE"""),"P")</f>
        <v>P</v>
      </c>
      <c r="N34" s="103">
        <f ca="1">IFERROR(__xludf.DUMMYFUNCTION("""COMPUTED_VALUE"""),6)</f>
        <v>6</v>
      </c>
      <c r="O34" s="103">
        <f ca="1">IFERROR(__xludf.DUMMYFUNCTION("""COMPUTED_VALUE"""),3)</f>
        <v>3</v>
      </c>
      <c r="P34" s="103">
        <f ca="1">IFERROR(__xludf.DUMMYFUNCTION("""COMPUTED_VALUE"""),0)</f>
        <v>0</v>
      </c>
      <c r="Q34" s="103">
        <f ca="1">IFERROR(__xludf.DUMMYFUNCTION("""COMPUTED_VALUE"""),0)</f>
        <v>0</v>
      </c>
      <c r="R34" s="103">
        <f ca="1">IFERROR(__xludf.DUMMYFUNCTION("""COMPUTED_VALUE"""),0)</f>
        <v>0</v>
      </c>
      <c r="S34" s="103" t="str">
        <f ca="1">IFERROR(__xludf.DUMMYFUNCTION("""COMPUTED_VALUE"""),"N")</f>
        <v>N</v>
      </c>
      <c r="T34" s="103">
        <f ca="1">IFERROR(__xludf.DUMMYFUNCTION("""COMPUTED_VALUE"""),3)</f>
        <v>3</v>
      </c>
      <c r="U34" s="103"/>
      <c r="V34" s="103"/>
      <c r="W34" s="103"/>
      <c r="X34" s="103"/>
      <c r="Y34" s="103"/>
      <c r="Z34" s="103"/>
      <c r="AA34" s="103"/>
      <c r="AB34" s="103"/>
      <c r="AC34" s="103"/>
      <c r="AD34" s="103">
        <f ca="1">IFERROR(__xludf.DUMMYFUNCTION("""COMPUTED_VALUE"""),59)</f>
        <v>59</v>
      </c>
      <c r="AE34" s="103">
        <f ca="1">IFERROR(__xludf.DUMMYFUNCTION("""COMPUTED_VALUE"""),8.9)</f>
        <v>8.9</v>
      </c>
      <c r="AF34" s="103">
        <f ca="1">IFERROR(__xludf.DUMMYFUNCTION("""COMPUTED_VALUE"""),300)</f>
        <v>300</v>
      </c>
      <c r="AG34" s="103">
        <f ca="1">IFERROR(__xludf.DUMMYFUNCTION("""COMPUTED_VALUE"""),6)</f>
        <v>6</v>
      </c>
      <c r="AH34" s="103">
        <f ca="1">IFERROR(__xludf.DUMMYFUNCTION("""COMPUTED_VALUE"""),7)</f>
        <v>7</v>
      </c>
      <c r="AI34" s="103">
        <f ca="1">IFERROR(__xludf.DUMMYFUNCTION("""COMPUTED_VALUE"""),710)</f>
        <v>710</v>
      </c>
      <c r="AJ34" s="103" t="str">
        <f ca="1">IFERROR(__xludf.DUMMYFUNCTION("""COMPUTED_VALUE"""),"MORS")</f>
        <v>MORS</v>
      </c>
      <c r="AK34" s="103">
        <f ca="1">IFERROR(__xludf.DUMMYFUNCTION("""COMPUTED_VALUE"""),9)</f>
        <v>9</v>
      </c>
      <c r="AL34" s="103"/>
      <c r="AM34" s="103"/>
      <c r="AN34" s="103"/>
      <c r="AO34" s="57" t="str">
        <f ca="1">IFERROR(__xludf.DUMMYFUNCTION("""COMPUTED_VALUE"""),"0A")</f>
        <v>0A</v>
      </c>
      <c r="AP34" s="103">
        <f ca="1">IFERROR(__xludf.DUMMYFUNCTION("""COMPUTED_VALUE"""),4)</f>
        <v>4</v>
      </c>
    </row>
    <row r="35" spans="1:42">
      <c r="A35" s="103">
        <f ca="1">IFERROR(__xludf.DUMMYFUNCTION("""COMPUTED_VALUE"""),3)</f>
        <v>3</v>
      </c>
      <c r="B35" s="103" t="str">
        <f ca="1">IFERROR(__xludf.DUMMYFUNCTION("""COMPUTED_VALUE"""),"JHT")</f>
        <v>JHT</v>
      </c>
      <c r="C35" s="103" t="str">
        <f ca="1">IFERROR(__xludf.DUMMYFUNCTION("""COMPUTED_VALUE"""),"R")</f>
        <v>R</v>
      </c>
      <c r="D35" s="103">
        <f ca="1">IFERROR(__xludf.DUMMYFUNCTION("""COMPUTED_VALUE"""),287076660)</f>
        <v>287076660</v>
      </c>
      <c r="E35" s="103" t="str">
        <f ca="1">IFERROR(__xludf.DUMMYFUNCTION("""COMPUTED_VALUE"""),"Orange-crowned Warbler")</f>
        <v>Orange-crowned Warbler</v>
      </c>
      <c r="F35" s="103" t="str">
        <f ca="1">IFERROR(__xludf.DUMMYFUNCTION("""COMPUTED_VALUE"""),"OCWA")</f>
        <v>OCWA</v>
      </c>
      <c r="G35" s="103">
        <f ca="1">IFERROR(__xludf.DUMMYFUNCTION("""COMPUTED_VALUE"""),1)</f>
        <v>1</v>
      </c>
      <c r="H35" s="103" t="str">
        <f ca="1">IFERROR(__xludf.DUMMYFUNCTION("""COMPUTED_VALUE"""),"S")</f>
        <v>S</v>
      </c>
      <c r="I35" s="103" t="str">
        <f ca="1">IFERROR(__xludf.DUMMYFUNCTION("""COMPUTED_VALUE"""),"B")</f>
        <v>B</v>
      </c>
      <c r="J35" s="103" t="str">
        <f ca="1">IFERROR(__xludf.DUMMYFUNCTION("""COMPUTED_VALUE"""),"UAJ")</f>
        <v>UAJ</v>
      </c>
      <c r="K35" s="103" t="str">
        <f ca="1">IFERROR(__xludf.DUMMYFUNCTION("""COMPUTED_VALUE"""),"F")</f>
        <v>F</v>
      </c>
      <c r="L35" s="103" t="str">
        <f ca="1">IFERROR(__xludf.DUMMYFUNCTION("""COMPUTED_VALUE"""),"B")</f>
        <v>B</v>
      </c>
      <c r="M35" s="103" t="str">
        <f ca="1">IFERROR(__xludf.DUMMYFUNCTION("""COMPUTED_VALUE"""),"P")</f>
        <v>P</v>
      </c>
      <c r="N35" s="103">
        <f ca="1">IFERROR(__xludf.DUMMYFUNCTION("""COMPUTED_VALUE"""),6)</f>
        <v>6</v>
      </c>
      <c r="O35" s="103">
        <f ca="1">IFERROR(__xludf.DUMMYFUNCTION("""COMPUTED_VALUE"""),0)</f>
        <v>0</v>
      </c>
      <c r="P35" s="103">
        <f ca="1">IFERROR(__xludf.DUMMYFUNCTION("""COMPUTED_VALUE"""),3)</f>
        <v>3</v>
      </c>
      <c r="Q35" s="103">
        <f ca="1">IFERROR(__xludf.DUMMYFUNCTION("""COMPUTED_VALUE"""),4)</f>
        <v>4</v>
      </c>
      <c r="R35" s="103">
        <f ca="1">IFERROR(__xludf.DUMMYFUNCTION("""COMPUTED_VALUE"""),0)</f>
        <v>0</v>
      </c>
      <c r="S35" s="103" t="str">
        <f ca="1">IFERROR(__xludf.DUMMYFUNCTION("""COMPUTED_VALUE"""),"N")</f>
        <v>N</v>
      </c>
      <c r="T35" s="103">
        <f ca="1">IFERROR(__xludf.DUMMYFUNCTION("""COMPUTED_VALUE"""),3)</f>
        <v>3</v>
      </c>
      <c r="U35" s="103"/>
      <c r="V35" s="103"/>
      <c r="W35" s="103"/>
      <c r="X35" s="103"/>
      <c r="Y35" s="103"/>
      <c r="Z35" s="103"/>
      <c r="AA35" s="103"/>
      <c r="AB35" s="103"/>
      <c r="AC35" s="103"/>
      <c r="AD35" s="103">
        <f ca="1">IFERROR(__xludf.DUMMYFUNCTION("""COMPUTED_VALUE"""),54)</f>
        <v>54</v>
      </c>
      <c r="AE35" s="103">
        <f ca="1">IFERROR(__xludf.DUMMYFUNCTION("""COMPUTED_VALUE"""),10.6)</f>
        <v>10.6</v>
      </c>
      <c r="AF35" s="103">
        <f ca="1">IFERROR(__xludf.DUMMYFUNCTION("""COMPUTED_VALUE"""),300)</f>
        <v>300</v>
      </c>
      <c r="AG35" s="103">
        <f ca="1">IFERROR(__xludf.DUMMYFUNCTION("""COMPUTED_VALUE"""),6)</f>
        <v>6</v>
      </c>
      <c r="AH35" s="103">
        <f ca="1">IFERROR(__xludf.DUMMYFUNCTION("""COMPUTED_VALUE"""),7)</f>
        <v>7</v>
      </c>
      <c r="AI35" s="103">
        <f ca="1">IFERROR(__xludf.DUMMYFUNCTION("""COMPUTED_VALUE"""),710)</f>
        <v>710</v>
      </c>
      <c r="AJ35" s="103" t="str">
        <f ca="1">IFERROR(__xludf.DUMMYFUNCTION("""COMPUTED_VALUE"""),"MORS")</f>
        <v>MORS</v>
      </c>
      <c r="AK35" s="103">
        <f ca="1">IFERROR(__xludf.DUMMYFUNCTION("""COMPUTED_VALUE"""),9)</f>
        <v>9</v>
      </c>
      <c r="AL35" s="103"/>
      <c r="AM35" s="103"/>
      <c r="AN35" s="103"/>
      <c r="AO35" s="57" t="str">
        <f ca="1">IFERROR(__xludf.DUMMYFUNCTION("""COMPUTED_VALUE"""),"R")</f>
        <v>R</v>
      </c>
      <c r="AP35" s="103">
        <f ca="1">IFERROR(__xludf.DUMMYFUNCTION("""COMPUTED_VALUE"""),4)</f>
        <v>4</v>
      </c>
    </row>
    <row r="36" spans="1:42">
      <c r="A36" s="103">
        <f ca="1">IFERROR(__xludf.DUMMYFUNCTION("""COMPUTED_VALUE"""),4)</f>
        <v>4</v>
      </c>
      <c r="B36" s="103" t="str">
        <f ca="1">IFERROR(__xludf.DUMMYFUNCTION("""COMPUTED_VALUE"""),"JHT")</f>
        <v>JHT</v>
      </c>
      <c r="C36" s="103" t="str">
        <f ca="1">IFERROR(__xludf.DUMMYFUNCTION("""COMPUTED_VALUE"""),"N")</f>
        <v>N</v>
      </c>
      <c r="D36" s="103">
        <f ca="1">IFERROR(__xludf.DUMMYFUNCTION("""COMPUTED_VALUE"""),290077829)</f>
        <v>290077829</v>
      </c>
      <c r="E36" s="103" t="str">
        <f ca="1">IFERROR(__xludf.DUMMYFUNCTION("""COMPUTED_VALUE"""),"Common Yellowthroat")</f>
        <v>Common Yellowthroat</v>
      </c>
      <c r="F36" s="103" t="str">
        <f ca="1">IFERROR(__xludf.DUMMYFUNCTION("""COMPUTED_VALUE"""),"COYE")</f>
        <v>COYE</v>
      </c>
      <c r="G36" s="103">
        <f ca="1">IFERROR(__xludf.DUMMYFUNCTION("""COMPUTED_VALUE"""),1)</f>
        <v>1</v>
      </c>
      <c r="H36" s="103" t="str">
        <f ca="1">IFERROR(__xludf.DUMMYFUNCTION("""COMPUTED_VALUE"""),"S")</f>
        <v>S</v>
      </c>
      <c r="I36" s="103" t="str">
        <f ca="1">IFERROR(__xludf.DUMMYFUNCTION("""COMPUTED_VALUE"""),"B")</f>
        <v>B</v>
      </c>
      <c r="J36" s="103" t="str">
        <f ca="1">IFERROR(__xludf.DUMMYFUNCTION("""COMPUTED_VALUE"""),"UAJ")</f>
        <v>UAJ</v>
      </c>
      <c r="K36" s="103" t="str">
        <f ca="1">IFERROR(__xludf.DUMMYFUNCTION("""COMPUTED_VALUE"""),"F")</f>
        <v>F</v>
      </c>
      <c r="L36" s="103" t="str">
        <f ca="1">IFERROR(__xludf.DUMMYFUNCTION("""COMPUTED_VALUE"""),"B")</f>
        <v>B</v>
      </c>
      <c r="M36" s="103" t="str">
        <f ca="1">IFERROR(__xludf.DUMMYFUNCTION("""COMPUTED_VALUE"""),"P")</f>
        <v>P</v>
      </c>
      <c r="N36" s="103">
        <f ca="1">IFERROR(__xludf.DUMMYFUNCTION("""COMPUTED_VALUE"""),6)</f>
        <v>6</v>
      </c>
      <c r="O36" s="103">
        <f ca="1">IFERROR(__xludf.DUMMYFUNCTION("""COMPUTED_VALUE"""),0)</f>
        <v>0</v>
      </c>
      <c r="P36" s="103">
        <f ca="1">IFERROR(__xludf.DUMMYFUNCTION("""COMPUTED_VALUE"""),4)</f>
        <v>4</v>
      </c>
      <c r="Q36" s="103">
        <f ca="1">IFERROR(__xludf.DUMMYFUNCTION("""COMPUTED_VALUE"""),0)</f>
        <v>0</v>
      </c>
      <c r="R36" s="103">
        <f ca="1">IFERROR(__xludf.DUMMYFUNCTION("""COMPUTED_VALUE"""),0)</f>
        <v>0</v>
      </c>
      <c r="S36" s="103" t="str">
        <f ca="1">IFERROR(__xludf.DUMMYFUNCTION("""COMPUTED_VALUE"""),"N")</f>
        <v>N</v>
      </c>
      <c r="T36" s="103">
        <f ca="1">IFERROR(__xludf.DUMMYFUNCTION("""COMPUTED_VALUE"""),3)</f>
        <v>3</v>
      </c>
      <c r="U36" s="103"/>
      <c r="V36" s="103"/>
      <c r="W36" s="103"/>
      <c r="X36" s="103"/>
      <c r="Y36" s="103"/>
      <c r="Z36" s="103"/>
      <c r="AA36" s="103"/>
      <c r="AB36" s="103"/>
      <c r="AC36" s="103"/>
      <c r="AD36" s="103">
        <f ca="1">IFERROR(__xludf.DUMMYFUNCTION("""COMPUTED_VALUE"""),50)</f>
        <v>50</v>
      </c>
      <c r="AE36" s="103">
        <f ca="1">IFERROR(__xludf.DUMMYFUNCTION("""COMPUTED_VALUE"""),9.5)</f>
        <v>9.5</v>
      </c>
      <c r="AF36" s="103">
        <f ca="1">IFERROR(__xludf.DUMMYFUNCTION("""COMPUTED_VALUE"""),300)</f>
        <v>300</v>
      </c>
      <c r="AG36" s="103">
        <f ca="1">IFERROR(__xludf.DUMMYFUNCTION("""COMPUTED_VALUE"""),6)</f>
        <v>6</v>
      </c>
      <c r="AH36" s="103">
        <f ca="1">IFERROR(__xludf.DUMMYFUNCTION("""COMPUTED_VALUE"""),7)</f>
        <v>7</v>
      </c>
      <c r="AI36" s="103">
        <f ca="1">IFERROR(__xludf.DUMMYFUNCTION("""COMPUTED_VALUE"""),810)</f>
        <v>810</v>
      </c>
      <c r="AJ36" s="103" t="str">
        <f ca="1">IFERROR(__xludf.DUMMYFUNCTION("""COMPUTED_VALUE"""),"MORS")</f>
        <v>MORS</v>
      </c>
      <c r="AK36" s="103">
        <f ca="1">IFERROR(__xludf.DUMMYFUNCTION("""COMPUTED_VALUE"""),21)</f>
        <v>21</v>
      </c>
      <c r="AL36" s="103"/>
      <c r="AM36" s="103"/>
      <c r="AN36" s="103"/>
      <c r="AO36" s="57" t="str">
        <f ca="1">IFERROR(__xludf.DUMMYFUNCTION("""COMPUTED_VALUE"""),"0A")</f>
        <v>0A</v>
      </c>
      <c r="AP36" s="103">
        <f ca="1">IFERROR(__xludf.DUMMYFUNCTION("""COMPUTED_VALUE"""),4)</f>
        <v>4</v>
      </c>
    </row>
    <row r="37" spans="1:42">
      <c r="A37" s="103">
        <f ca="1">IFERROR(__xludf.DUMMYFUNCTION("""COMPUTED_VALUE"""),5)</f>
        <v>5</v>
      </c>
      <c r="B37" s="103" t="str">
        <f ca="1">IFERROR(__xludf.DUMMYFUNCTION("""COMPUTED_VALUE"""),"JHT")</f>
        <v>JHT</v>
      </c>
      <c r="C37" s="103" t="str">
        <f ca="1">IFERROR(__xludf.DUMMYFUNCTION("""COMPUTED_VALUE"""),"R")</f>
        <v>R</v>
      </c>
      <c r="D37" s="103">
        <f ca="1">IFERROR(__xludf.DUMMYFUNCTION("""COMPUTED_VALUE"""),281127931)</f>
        <v>281127931</v>
      </c>
      <c r="E37" s="103" t="str">
        <f ca="1">IFERROR(__xludf.DUMMYFUNCTION("""COMPUTED_VALUE"""),"Bewick's Wren")</f>
        <v>Bewick's Wren</v>
      </c>
      <c r="F37" s="103" t="str">
        <f ca="1">IFERROR(__xludf.DUMMYFUNCTION("""COMPUTED_VALUE"""),"BEWR")</f>
        <v>BEWR</v>
      </c>
      <c r="G37" s="103">
        <f ca="1">IFERROR(__xludf.DUMMYFUNCTION("""COMPUTED_VALUE"""),1)</f>
        <v>1</v>
      </c>
      <c r="H37" s="103" t="str">
        <f ca="1">IFERROR(__xludf.DUMMYFUNCTION("""COMPUTED_VALUE"""),"S")</f>
        <v>S</v>
      </c>
      <c r="I37" s="103" t="str">
        <f ca="1">IFERROR(__xludf.DUMMYFUNCTION("""COMPUTED_VALUE"""),"C")</f>
        <v>C</v>
      </c>
      <c r="J37" s="103" t="str">
        <f ca="1">IFERROR(__xludf.DUMMYFUNCTION("""COMPUTED_VALUE"""),"UAJ")</f>
        <v>UAJ</v>
      </c>
      <c r="K37" s="103" t="str">
        <f ca="1">IFERROR(__xludf.DUMMYFUNCTION("""COMPUTED_VALUE"""),"M")</f>
        <v>M</v>
      </c>
      <c r="L37" s="103" t="str">
        <f ca="1">IFERROR(__xludf.DUMMYFUNCTION("""COMPUTED_VALUE"""),"C")</f>
        <v>C</v>
      </c>
      <c r="M37" s="103" t="str">
        <f ca="1">IFERROR(__xludf.DUMMYFUNCTION("""COMPUTED_VALUE"""),"P")</f>
        <v>P</v>
      </c>
      <c r="N37" s="103">
        <f ca="1">IFERROR(__xludf.DUMMYFUNCTION("""COMPUTED_VALUE"""),6)</f>
        <v>6</v>
      </c>
      <c r="O37" s="103">
        <f ca="1">IFERROR(__xludf.DUMMYFUNCTION("""COMPUTED_VALUE"""),1)</f>
        <v>1</v>
      </c>
      <c r="P37" s="103">
        <f ca="1">IFERROR(__xludf.DUMMYFUNCTION("""COMPUTED_VALUE"""),0)</f>
        <v>0</v>
      </c>
      <c r="Q37" s="103">
        <f ca="1">IFERROR(__xludf.DUMMYFUNCTION("""COMPUTED_VALUE"""),0)</f>
        <v>0</v>
      </c>
      <c r="R37" s="103">
        <f ca="1">IFERROR(__xludf.DUMMYFUNCTION("""COMPUTED_VALUE"""),0)</f>
        <v>0</v>
      </c>
      <c r="S37" s="103" t="str">
        <f ca="1">IFERROR(__xludf.DUMMYFUNCTION("""COMPUTED_VALUE"""),"N")</f>
        <v>N</v>
      </c>
      <c r="T37" s="103">
        <f ca="1">IFERROR(__xludf.DUMMYFUNCTION("""COMPUTED_VALUE"""),3)</f>
        <v>3</v>
      </c>
      <c r="U37" s="103"/>
      <c r="V37" s="103"/>
      <c r="W37" s="103"/>
      <c r="X37" s="103"/>
      <c r="Y37" s="103"/>
      <c r="Z37" s="103"/>
      <c r="AA37" s="103"/>
      <c r="AB37" s="103"/>
      <c r="AC37" s="103"/>
      <c r="AD37" s="103">
        <f ca="1">IFERROR(__xludf.DUMMYFUNCTION("""COMPUTED_VALUE"""),51)</f>
        <v>51</v>
      </c>
      <c r="AE37" s="103">
        <f ca="1">IFERROR(__xludf.DUMMYFUNCTION("""COMPUTED_VALUE"""),11)</f>
        <v>11</v>
      </c>
      <c r="AF37" s="103">
        <f ca="1">IFERROR(__xludf.DUMMYFUNCTION("""COMPUTED_VALUE"""),300)</f>
        <v>300</v>
      </c>
      <c r="AG37" s="103">
        <f ca="1">IFERROR(__xludf.DUMMYFUNCTION("""COMPUTED_VALUE"""),6)</f>
        <v>6</v>
      </c>
      <c r="AH37" s="103">
        <f ca="1">IFERROR(__xludf.DUMMYFUNCTION("""COMPUTED_VALUE"""),7)</f>
        <v>7</v>
      </c>
      <c r="AI37" s="103">
        <f ca="1">IFERROR(__xludf.DUMMYFUNCTION("""COMPUTED_VALUE"""),850)</f>
        <v>850</v>
      </c>
      <c r="AJ37" s="103" t="str">
        <f ca="1">IFERROR(__xludf.DUMMYFUNCTION("""COMPUTED_VALUE"""),"MORS")</f>
        <v>MORS</v>
      </c>
      <c r="AK37" s="103">
        <f ca="1">IFERROR(__xludf.DUMMYFUNCTION("""COMPUTED_VALUE"""),8)</f>
        <v>8</v>
      </c>
      <c r="AL37" s="103"/>
      <c r="AM37" s="103"/>
      <c r="AN37" s="103"/>
      <c r="AO37" s="57" t="str">
        <f ca="1">IFERROR(__xludf.DUMMYFUNCTION("""COMPUTED_VALUE"""),"R")</f>
        <v>R</v>
      </c>
      <c r="AP37" s="103">
        <f ca="1">IFERROR(__xludf.DUMMYFUNCTION("""COMPUTED_VALUE"""),4)</f>
        <v>4</v>
      </c>
    </row>
    <row r="38" spans="1:42">
      <c r="A38" s="103">
        <f ca="1">IFERROR(__xludf.DUMMYFUNCTION("""COMPUTED_VALUE"""),6)</f>
        <v>6</v>
      </c>
      <c r="B38" s="103" t="str">
        <f ca="1">IFERROR(__xludf.DUMMYFUNCTION("""COMPUTED_VALUE"""),"JHT")</f>
        <v>JHT</v>
      </c>
      <c r="C38" s="103" t="str">
        <f ca="1">IFERROR(__xludf.DUMMYFUNCTION("""COMPUTED_VALUE"""),"R")</f>
        <v>R</v>
      </c>
      <c r="D38" s="103">
        <f ca="1">IFERROR(__xludf.DUMMYFUNCTION("""COMPUTED_VALUE"""),262127392)</f>
        <v>262127392</v>
      </c>
      <c r="E38" s="103" t="str">
        <f ca="1">IFERROR(__xludf.DUMMYFUNCTION("""COMPUTED_VALUE"""),"Oregon Junco")</f>
        <v>Oregon Junco</v>
      </c>
      <c r="F38" s="103" t="str">
        <f ca="1">IFERROR(__xludf.DUMMYFUNCTION("""COMPUTED_VALUE"""),"ORJU")</f>
        <v>ORJU</v>
      </c>
      <c r="G38" s="103">
        <f ca="1">IFERROR(__xludf.DUMMYFUNCTION("""COMPUTED_VALUE"""),1)</f>
        <v>1</v>
      </c>
      <c r="H38" s="103" t="str">
        <f ca="1">IFERROR(__xludf.DUMMYFUNCTION("""COMPUTED_VALUE"""),"S")</f>
        <v>S</v>
      </c>
      <c r="I38" s="103" t="str">
        <f ca="1">IFERROR(__xludf.DUMMYFUNCTION("""COMPUTED_VALUE"""),"B")</f>
        <v>B</v>
      </c>
      <c r="J38" s="103" t="str">
        <f ca="1">IFERROR(__xludf.DUMMYFUNCTION("""COMPUTED_VALUE"""),"UAJ")</f>
        <v>UAJ</v>
      </c>
      <c r="K38" s="103" t="str">
        <f ca="1">IFERROR(__xludf.DUMMYFUNCTION("""COMPUTED_VALUE"""),"F")</f>
        <v>F</v>
      </c>
      <c r="L38" s="103" t="str">
        <f ca="1">IFERROR(__xludf.DUMMYFUNCTION("""COMPUTED_VALUE"""),"B")</f>
        <v>B</v>
      </c>
      <c r="M38" s="103" t="str">
        <f ca="1">IFERROR(__xludf.DUMMYFUNCTION("""COMPUTED_VALUE"""),"P")</f>
        <v>P</v>
      </c>
      <c r="N38" s="103">
        <f ca="1">IFERROR(__xludf.DUMMYFUNCTION("""COMPUTED_VALUE"""),6)</f>
        <v>6</v>
      </c>
      <c r="O38" s="103">
        <f ca="1">IFERROR(__xludf.DUMMYFUNCTION("""COMPUTED_VALUE"""),0)</f>
        <v>0</v>
      </c>
      <c r="P38" s="103">
        <f ca="1">IFERROR(__xludf.DUMMYFUNCTION("""COMPUTED_VALUE"""),4)</f>
        <v>4</v>
      </c>
      <c r="Q38" s="103">
        <f ca="1">IFERROR(__xludf.DUMMYFUNCTION("""COMPUTED_VALUE"""),0)</f>
        <v>0</v>
      </c>
      <c r="R38" s="103">
        <f ca="1">IFERROR(__xludf.DUMMYFUNCTION("""COMPUTED_VALUE"""),0)</f>
        <v>0</v>
      </c>
      <c r="S38" s="103" t="str">
        <f ca="1">IFERROR(__xludf.DUMMYFUNCTION("""COMPUTED_VALUE"""),"N")</f>
        <v>N</v>
      </c>
      <c r="T38" s="103">
        <f ca="1">IFERROR(__xludf.DUMMYFUNCTION("""COMPUTED_VALUE"""),2)</f>
        <v>2</v>
      </c>
      <c r="U38" s="103"/>
      <c r="V38" s="103"/>
      <c r="W38" s="103"/>
      <c r="X38" s="103"/>
      <c r="Y38" s="103"/>
      <c r="Z38" s="103"/>
      <c r="AA38" s="103"/>
      <c r="AB38" s="103"/>
      <c r="AC38" s="103"/>
      <c r="AD38" s="103">
        <f ca="1">IFERROR(__xludf.DUMMYFUNCTION("""COMPUTED_VALUE"""),69)</f>
        <v>69</v>
      </c>
      <c r="AE38" s="103">
        <f ca="1">IFERROR(__xludf.DUMMYFUNCTION("""COMPUTED_VALUE"""),18.1)</f>
        <v>18.100000000000001</v>
      </c>
      <c r="AF38" s="103">
        <f ca="1">IFERROR(__xludf.DUMMYFUNCTION("""COMPUTED_VALUE"""),300)</f>
        <v>300</v>
      </c>
      <c r="AG38" s="103">
        <f ca="1">IFERROR(__xludf.DUMMYFUNCTION("""COMPUTED_VALUE"""),6)</f>
        <v>6</v>
      </c>
      <c r="AH38" s="103">
        <f ca="1">IFERROR(__xludf.DUMMYFUNCTION("""COMPUTED_VALUE"""),7)</f>
        <v>7</v>
      </c>
      <c r="AI38" s="103">
        <f ca="1">IFERROR(__xludf.DUMMYFUNCTION("""COMPUTED_VALUE"""),850)</f>
        <v>850</v>
      </c>
      <c r="AJ38" s="103" t="str">
        <f ca="1">IFERROR(__xludf.DUMMYFUNCTION("""COMPUTED_VALUE"""),"MORS")</f>
        <v>MORS</v>
      </c>
      <c r="AK38" s="103">
        <f ca="1">IFERROR(__xludf.DUMMYFUNCTION("""COMPUTED_VALUE"""),5)</f>
        <v>5</v>
      </c>
      <c r="AL38" s="103"/>
      <c r="AM38" s="103"/>
      <c r="AN38" s="103"/>
      <c r="AO38" s="57" t="str">
        <f ca="1">IFERROR(__xludf.DUMMYFUNCTION("""COMPUTED_VALUE"""),"R")</f>
        <v>R</v>
      </c>
      <c r="AP38" s="103">
        <f ca="1">IFERROR(__xludf.DUMMYFUNCTION("""COMPUTED_VALUE"""),4)</f>
        <v>4</v>
      </c>
    </row>
    <row r="39" spans="1:42">
      <c r="A39" s="103">
        <f ca="1">IFERROR(__xludf.DUMMYFUNCTION("""COMPUTED_VALUE"""),7)</f>
        <v>7</v>
      </c>
      <c r="B39" s="103" t="str">
        <f ca="1">IFERROR(__xludf.DUMMYFUNCTION("""COMPUTED_VALUE"""),"JHT")</f>
        <v>JHT</v>
      </c>
      <c r="C39" s="103" t="str">
        <f ca="1">IFERROR(__xludf.DUMMYFUNCTION("""COMPUTED_VALUE"""),"N")</f>
        <v>N</v>
      </c>
      <c r="D39" s="103">
        <f ca="1">IFERROR(__xludf.DUMMYFUNCTION("""COMPUTED_VALUE"""),172176232)</f>
        <v>172176232</v>
      </c>
      <c r="E39" s="103" t="str">
        <f ca="1">IFERROR(__xludf.DUMMYFUNCTION("""COMPUTED_VALUE"""),"Song Sparrow")</f>
        <v>Song Sparrow</v>
      </c>
      <c r="F39" s="103" t="str">
        <f ca="1">IFERROR(__xludf.DUMMYFUNCTION("""COMPUTED_VALUE"""),"SOSP")</f>
        <v>SOSP</v>
      </c>
      <c r="G39" s="103">
        <f ca="1">IFERROR(__xludf.DUMMYFUNCTION("""COMPUTED_VALUE"""),1)</f>
        <v>1</v>
      </c>
      <c r="H39" s="103" t="str">
        <f ca="1">IFERROR(__xludf.DUMMYFUNCTION("""COMPUTED_VALUE"""),"S")</f>
        <v>S</v>
      </c>
      <c r="I39" s="103" t="str">
        <f ca="1">IFERROR(__xludf.DUMMYFUNCTION("""COMPUTED_VALUE"""),"C")</f>
        <v>C</v>
      </c>
      <c r="J39" s="103" t="str">
        <f ca="1">IFERROR(__xludf.DUMMYFUNCTION("""COMPUTED_VALUE"""),"UAJ")</f>
        <v>UAJ</v>
      </c>
      <c r="K39" s="103" t="str">
        <f ca="1">IFERROR(__xludf.DUMMYFUNCTION("""COMPUTED_VALUE"""),"M")</f>
        <v>M</v>
      </c>
      <c r="L39" s="103" t="str">
        <f ca="1">IFERROR(__xludf.DUMMYFUNCTION("""COMPUTED_VALUE"""),"C")</f>
        <v>C</v>
      </c>
      <c r="M39" s="103" t="str">
        <f ca="1">IFERROR(__xludf.DUMMYFUNCTION("""COMPUTED_VALUE"""),"P")</f>
        <v>P</v>
      </c>
      <c r="N39" s="103">
        <f ca="1">IFERROR(__xludf.DUMMYFUNCTION("""COMPUTED_VALUE"""),6)</f>
        <v>6</v>
      </c>
      <c r="O39" s="103">
        <f ca="1">IFERROR(__xludf.DUMMYFUNCTION("""COMPUTED_VALUE"""),3)</f>
        <v>3</v>
      </c>
      <c r="P39" s="103">
        <f ca="1">IFERROR(__xludf.DUMMYFUNCTION("""COMPUTED_VALUE"""),0)</f>
        <v>0</v>
      </c>
      <c r="Q39" s="103">
        <f ca="1">IFERROR(__xludf.DUMMYFUNCTION("""COMPUTED_VALUE"""),0)</f>
        <v>0</v>
      </c>
      <c r="R39" s="103">
        <f ca="1">IFERROR(__xludf.DUMMYFUNCTION("""COMPUTED_VALUE"""),0)</f>
        <v>0</v>
      </c>
      <c r="S39" s="103" t="str">
        <f ca="1">IFERROR(__xludf.DUMMYFUNCTION("""COMPUTED_VALUE"""),"N")</f>
        <v>N</v>
      </c>
      <c r="T39" s="103">
        <f ca="1">IFERROR(__xludf.DUMMYFUNCTION("""COMPUTED_VALUE"""),3)</f>
        <v>3</v>
      </c>
      <c r="U39" s="103"/>
      <c r="V39" s="103"/>
      <c r="W39" s="103"/>
      <c r="X39" s="103"/>
      <c r="Y39" s="103"/>
      <c r="Z39" s="103"/>
      <c r="AA39" s="103"/>
      <c r="AB39" s="103"/>
      <c r="AC39" s="103"/>
      <c r="AD39" s="103">
        <f ca="1">IFERROR(__xludf.DUMMYFUNCTION("""COMPUTED_VALUE"""),66)</f>
        <v>66</v>
      </c>
      <c r="AE39" s="103">
        <f ca="1">IFERROR(__xludf.DUMMYFUNCTION("""COMPUTED_VALUE"""),25.2)</f>
        <v>25.2</v>
      </c>
      <c r="AF39" s="103">
        <f ca="1">IFERROR(__xludf.DUMMYFUNCTION("""COMPUTED_VALUE"""),300)</f>
        <v>300</v>
      </c>
      <c r="AG39" s="103">
        <f ca="1">IFERROR(__xludf.DUMMYFUNCTION("""COMPUTED_VALUE"""),6)</f>
        <v>6</v>
      </c>
      <c r="AH39" s="103">
        <f ca="1">IFERROR(__xludf.DUMMYFUNCTION("""COMPUTED_VALUE"""),7)</f>
        <v>7</v>
      </c>
      <c r="AI39" s="103">
        <f ca="1">IFERROR(__xludf.DUMMYFUNCTION("""COMPUTED_VALUE"""),920)</f>
        <v>920</v>
      </c>
      <c r="AJ39" s="103" t="str">
        <f ca="1">IFERROR(__xludf.DUMMYFUNCTION("""COMPUTED_VALUE"""),"MORS")</f>
        <v>MORS</v>
      </c>
      <c r="AK39" s="103">
        <f ca="1">IFERROR(__xludf.DUMMYFUNCTION("""COMPUTED_VALUE"""),20)</f>
        <v>20</v>
      </c>
      <c r="AL39" s="103"/>
      <c r="AM39" s="103"/>
      <c r="AN39" s="103"/>
      <c r="AO39" s="57" t="str">
        <f ca="1">IFERROR(__xludf.DUMMYFUNCTION("""COMPUTED_VALUE"""),"1B")</f>
        <v>1B</v>
      </c>
      <c r="AP39" s="103">
        <f ca="1">IFERROR(__xludf.DUMMYFUNCTION("""COMPUTED_VALUE"""),4)</f>
        <v>4</v>
      </c>
    </row>
    <row r="40" spans="1:42">
      <c r="A40" s="103">
        <f ca="1">IFERROR(__xludf.DUMMYFUNCTION("""COMPUTED_VALUE"""),8)</f>
        <v>8</v>
      </c>
      <c r="B40" s="103" t="str">
        <f ca="1">IFERROR(__xludf.DUMMYFUNCTION("""COMPUTED_VALUE"""),"JHT")</f>
        <v>JHT</v>
      </c>
      <c r="C40" s="103" t="str">
        <f ca="1">IFERROR(__xludf.DUMMYFUNCTION("""COMPUTED_VALUE"""),"N")</f>
        <v>N</v>
      </c>
      <c r="D40" s="103">
        <f ca="1">IFERROR(__xludf.DUMMYFUNCTION("""COMPUTED_VALUE"""),172176233)</f>
        <v>172176233</v>
      </c>
      <c r="E40" s="103" t="str">
        <f ca="1">IFERROR(__xludf.DUMMYFUNCTION("""COMPUTED_VALUE"""),"Song Sparrow")</f>
        <v>Song Sparrow</v>
      </c>
      <c r="F40" s="103" t="str">
        <f ca="1">IFERROR(__xludf.DUMMYFUNCTION("""COMPUTED_VALUE"""),"SOSP")</f>
        <v>SOSP</v>
      </c>
      <c r="G40" s="103">
        <f ca="1">IFERROR(__xludf.DUMMYFUNCTION("""COMPUTED_VALUE"""),2)</f>
        <v>2</v>
      </c>
      <c r="H40" s="103" t="str">
        <f ca="1">IFERROR(__xludf.DUMMYFUNCTION("""COMPUTED_VALUE"""),"I")</f>
        <v>I</v>
      </c>
      <c r="I40" s="103" t="str">
        <f ca="1">IFERROR(__xludf.DUMMYFUNCTION("""COMPUTED_VALUE"""),"S")</f>
        <v>S</v>
      </c>
      <c r="J40" s="103" t="str">
        <f ca="1">IFERROR(__xludf.DUMMYFUNCTION("""COMPUTED_VALUE"""),"FPJ")</f>
        <v>FPJ</v>
      </c>
      <c r="K40" s="103" t="str">
        <f ca="1">IFERROR(__xludf.DUMMYFUNCTION("""COMPUTED_VALUE"""),"U")</f>
        <v>U</v>
      </c>
      <c r="L40" s="103"/>
      <c r="M40" s="103"/>
      <c r="N40" s="103">
        <f ca="1">IFERROR(__xludf.DUMMYFUNCTION("""COMPUTED_VALUE"""),5)</f>
        <v>5</v>
      </c>
      <c r="O40" s="103">
        <f ca="1">IFERROR(__xludf.DUMMYFUNCTION("""COMPUTED_VALUE"""),0)</f>
        <v>0</v>
      </c>
      <c r="P40" s="103">
        <f ca="1">IFERROR(__xludf.DUMMYFUNCTION("""COMPUTED_VALUE"""),0)</f>
        <v>0</v>
      </c>
      <c r="Q40" s="103">
        <f ca="1">IFERROR(__xludf.DUMMYFUNCTION("""COMPUTED_VALUE"""),0)</f>
        <v>0</v>
      </c>
      <c r="R40" s="103">
        <f ca="1">IFERROR(__xludf.DUMMYFUNCTION("""COMPUTED_VALUE"""),1)</f>
        <v>1</v>
      </c>
      <c r="S40" s="103" t="str">
        <f ca="1">IFERROR(__xludf.DUMMYFUNCTION("""COMPUTED_VALUE"""),"N")</f>
        <v>N</v>
      </c>
      <c r="T40" s="103">
        <f ca="1">IFERROR(__xludf.DUMMYFUNCTION("""COMPUTED_VALUE"""),1)</f>
        <v>1</v>
      </c>
      <c r="U40" s="103">
        <f ca="1">IFERROR(__xludf.DUMMYFUNCTION("""COMPUTED_VALUE"""),3)</f>
        <v>3</v>
      </c>
      <c r="V40" s="103"/>
      <c r="W40" s="103"/>
      <c r="X40" s="103"/>
      <c r="Y40" s="103"/>
      <c r="Z40" s="103"/>
      <c r="AA40" s="103"/>
      <c r="AB40" s="103"/>
      <c r="AC40" s="103"/>
      <c r="AD40" s="103">
        <f ca="1">IFERROR(__xludf.DUMMYFUNCTION("""COMPUTED_VALUE"""),62)</f>
        <v>62</v>
      </c>
      <c r="AE40" s="103">
        <f ca="1">IFERROR(__xludf.DUMMYFUNCTION("""COMPUTED_VALUE"""),19.6)</f>
        <v>19.600000000000001</v>
      </c>
      <c r="AF40" s="103">
        <f ca="1">IFERROR(__xludf.DUMMYFUNCTION("""COMPUTED_VALUE"""),300)</f>
        <v>300</v>
      </c>
      <c r="AG40" s="103">
        <f ca="1">IFERROR(__xludf.DUMMYFUNCTION("""COMPUTED_VALUE"""),6)</f>
        <v>6</v>
      </c>
      <c r="AH40" s="103">
        <f ca="1">IFERROR(__xludf.DUMMYFUNCTION("""COMPUTED_VALUE"""),7)</f>
        <v>7</v>
      </c>
      <c r="AI40" s="103">
        <f ca="1">IFERROR(__xludf.DUMMYFUNCTION("""COMPUTED_VALUE"""),10)</f>
        <v>10</v>
      </c>
      <c r="AJ40" s="103" t="str">
        <f ca="1">IFERROR(__xludf.DUMMYFUNCTION("""COMPUTED_VALUE"""),"MORS")</f>
        <v>MORS</v>
      </c>
      <c r="AK40" s="103">
        <f ca="1">IFERROR(__xludf.DUMMYFUNCTION("""COMPUTED_VALUE"""),7)</f>
        <v>7</v>
      </c>
      <c r="AL40" s="103"/>
      <c r="AM40" s="103">
        <f ca="1">IFERROR(__xludf.DUMMYFUNCTION("""COMPUTED_VALUE"""),1)</f>
        <v>1</v>
      </c>
      <c r="AN40" s="103" t="str">
        <f ca="1">IFERROR(__xludf.DUMMYFUNCTION("""COMPUTED_VALUE"""),"FF not in molt, but rects are. Body molt just on sides of body under wings")</f>
        <v>FF not in molt, but rects are. Body molt just on sides of body under wings</v>
      </c>
      <c r="AO40" s="57" t="str">
        <f ca="1">IFERROR(__xludf.DUMMYFUNCTION("""COMPUTED_VALUE"""),"1B")</f>
        <v>1B</v>
      </c>
      <c r="AP40" s="103">
        <f ca="1">IFERROR(__xludf.DUMMYFUNCTION("""COMPUTED_VALUE"""),4)</f>
        <v>4</v>
      </c>
    </row>
    <row r="41" spans="1:42">
      <c r="A41" s="103">
        <f ca="1">IFERROR(__xludf.DUMMYFUNCTION("""COMPUTED_VALUE"""),9)</f>
        <v>9</v>
      </c>
      <c r="B41" s="103" t="str">
        <f ca="1">IFERROR(__xludf.DUMMYFUNCTION("""COMPUTED_VALUE"""),"JHT")</f>
        <v>JHT</v>
      </c>
      <c r="C41" s="103" t="str">
        <f ca="1">IFERROR(__xludf.DUMMYFUNCTION("""COMPUTED_VALUE"""),"N")</f>
        <v>N</v>
      </c>
      <c r="D41" s="103">
        <f ca="1">IFERROR(__xludf.DUMMYFUNCTION("""COMPUTED_VALUE"""),288029936)</f>
        <v>288029936</v>
      </c>
      <c r="E41" s="103" t="str">
        <f ca="1">IFERROR(__xludf.DUMMYFUNCTION("""COMPUTED_VALUE"""),"Chestnut-backed Chickadee")</f>
        <v>Chestnut-backed Chickadee</v>
      </c>
      <c r="F41" s="103" t="str">
        <f ca="1">IFERROR(__xludf.DUMMYFUNCTION("""COMPUTED_VALUE"""),"CBCH")</f>
        <v>CBCH</v>
      </c>
      <c r="G41" s="103">
        <f ca="1">IFERROR(__xludf.DUMMYFUNCTION("""COMPUTED_VALUE"""),1)</f>
        <v>1</v>
      </c>
      <c r="H41" s="103" t="str">
        <f ca="1">IFERROR(__xludf.DUMMYFUNCTION("""COMPUTED_VALUE"""),"S")</f>
        <v>S</v>
      </c>
      <c r="I41" s="103" t="str">
        <f ca="1">IFERROR(__xludf.DUMMYFUNCTION("""COMPUTED_VALUE"""),"C")</f>
        <v>C</v>
      </c>
      <c r="J41" s="103" t="str">
        <f ca="1">IFERROR(__xludf.DUMMYFUNCTION("""COMPUTED_VALUE"""),"UAJ")</f>
        <v>UAJ</v>
      </c>
      <c r="K41" s="103" t="str">
        <f ca="1">IFERROR(__xludf.DUMMYFUNCTION("""COMPUTED_VALUE"""),"M")</f>
        <v>M</v>
      </c>
      <c r="L41" s="103" t="str">
        <f ca="1">IFERROR(__xludf.DUMMYFUNCTION("""COMPUTED_VALUE"""),"C")</f>
        <v>C</v>
      </c>
      <c r="M41" s="103" t="str">
        <f ca="1">IFERROR(__xludf.DUMMYFUNCTION("""COMPUTED_VALUE"""),"P")</f>
        <v>P</v>
      </c>
      <c r="N41" s="103">
        <f ca="1">IFERROR(__xludf.DUMMYFUNCTION("""COMPUTED_VALUE"""),6)</f>
        <v>6</v>
      </c>
      <c r="O41" s="103">
        <f ca="1">IFERROR(__xludf.DUMMYFUNCTION("""COMPUTED_VALUE"""),1)</f>
        <v>1</v>
      </c>
      <c r="P41" s="103">
        <f ca="1">IFERROR(__xludf.DUMMYFUNCTION("""COMPUTED_VALUE"""),0)</f>
        <v>0</v>
      </c>
      <c r="Q41" s="103">
        <f ca="1">IFERROR(__xludf.DUMMYFUNCTION("""COMPUTED_VALUE"""),2)</f>
        <v>2</v>
      </c>
      <c r="R41" s="103">
        <f ca="1">IFERROR(__xludf.DUMMYFUNCTION("""COMPUTED_VALUE"""),0)</f>
        <v>0</v>
      </c>
      <c r="S41" s="103" t="str">
        <f ca="1">IFERROR(__xludf.DUMMYFUNCTION("""COMPUTED_VALUE"""),"S")</f>
        <v>S</v>
      </c>
      <c r="T41" s="103">
        <f ca="1">IFERROR(__xludf.DUMMYFUNCTION("""COMPUTED_VALUE"""),3)</f>
        <v>3</v>
      </c>
      <c r="U41" s="103"/>
      <c r="V41" s="103"/>
      <c r="W41" s="103"/>
      <c r="X41" s="103"/>
      <c r="Y41" s="103"/>
      <c r="Z41" s="103"/>
      <c r="AA41" s="103"/>
      <c r="AB41" s="103"/>
      <c r="AC41" s="103"/>
      <c r="AD41" s="103">
        <f ca="1">IFERROR(__xludf.DUMMYFUNCTION("""COMPUTED_VALUE"""),59)</f>
        <v>59</v>
      </c>
      <c r="AE41" s="103">
        <f ca="1">IFERROR(__xludf.DUMMYFUNCTION("""COMPUTED_VALUE"""),9.2)</f>
        <v>9.1999999999999993</v>
      </c>
      <c r="AF41" s="103">
        <f ca="1">IFERROR(__xludf.DUMMYFUNCTION("""COMPUTED_VALUE"""),300)</f>
        <v>300</v>
      </c>
      <c r="AG41" s="103">
        <f ca="1">IFERROR(__xludf.DUMMYFUNCTION("""COMPUTED_VALUE"""),6)</f>
        <v>6</v>
      </c>
      <c r="AH41" s="103">
        <f ca="1">IFERROR(__xludf.DUMMYFUNCTION("""COMPUTED_VALUE"""),7)</f>
        <v>7</v>
      </c>
      <c r="AI41" s="103">
        <f ca="1">IFERROR(__xludf.DUMMYFUNCTION("""COMPUTED_VALUE"""),1030)</f>
        <v>1030</v>
      </c>
      <c r="AJ41" s="103" t="str">
        <f ca="1">IFERROR(__xludf.DUMMYFUNCTION("""COMPUTED_VALUE"""),"MORS")</f>
        <v>MORS</v>
      </c>
      <c r="AK41" s="103">
        <f ca="1">IFERROR(__xludf.DUMMYFUNCTION("""COMPUTED_VALUE"""),2)</f>
        <v>2</v>
      </c>
      <c r="AL41" s="103"/>
      <c r="AM41" s="103">
        <f ca="1">IFERROR(__xludf.DUMMYFUNCTION("""COMPUTED_VALUE"""),2)</f>
        <v>2</v>
      </c>
      <c r="AN41" s="103" t="str">
        <f ca="1">IFERROR(__xludf.DUMMYFUNCTION("""COMPUTED_VALUE"""),"P3 on both wings in molt 50%")</f>
        <v>P3 on both wings in molt 50%</v>
      </c>
      <c r="AO41" s="57">
        <f ca="1">IFERROR(__xludf.DUMMYFUNCTION("""COMPUTED_VALUE"""),0)</f>
        <v>0</v>
      </c>
      <c r="AP41" s="103">
        <f ca="1">IFERROR(__xludf.DUMMYFUNCTION("""COMPUTED_VALUE"""),4)</f>
        <v>4</v>
      </c>
    </row>
    <row r="42" spans="1:42">
      <c r="A42" s="103">
        <f ca="1">IFERROR(__xludf.DUMMYFUNCTION("""COMPUTED_VALUE"""),10)</f>
        <v>10</v>
      </c>
      <c r="B42" s="103" t="str">
        <f ca="1">IFERROR(__xludf.DUMMYFUNCTION("""COMPUTED_VALUE"""),"JHT")</f>
        <v>JHT</v>
      </c>
      <c r="C42" s="103" t="str">
        <f ca="1">IFERROR(__xludf.DUMMYFUNCTION("""COMPUTED_VALUE"""),"N")</f>
        <v>N</v>
      </c>
      <c r="D42" s="103">
        <f ca="1">IFERROR(__xludf.DUMMYFUNCTION("""COMPUTED_VALUE"""),281191224)</f>
        <v>281191224</v>
      </c>
      <c r="E42" s="103" t="str">
        <f ca="1">IFERROR(__xludf.DUMMYFUNCTION("""COMPUTED_VALUE"""),"Oregon Junco")</f>
        <v>Oregon Junco</v>
      </c>
      <c r="F42" s="103" t="str">
        <f ca="1">IFERROR(__xludf.DUMMYFUNCTION("""COMPUTED_VALUE"""),"ORJU")</f>
        <v>ORJU</v>
      </c>
      <c r="G42" s="103">
        <f ca="1">IFERROR(__xludf.DUMMYFUNCTION("""COMPUTED_VALUE"""),2)</f>
        <v>2</v>
      </c>
      <c r="H42" s="103" t="str">
        <f ca="1">IFERROR(__xludf.DUMMYFUNCTION("""COMPUTED_VALUE"""),"P")</f>
        <v>P</v>
      </c>
      <c r="I42" s="103" t="str">
        <f ca="1">IFERROR(__xludf.DUMMYFUNCTION("""COMPUTED_VALUE"""),"S")</f>
        <v>S</v>
      </c>
      <c r="J42" s="103" t="str">
        <f ca="1">IFERROR(__xludf.DUMMYFUNCTION("""COMPUTED_VALUE"""),"FPJ")</f>
        <v>FPJ</v>
      </c>
      <c r="K42" s="103" t="str">
        <f ca="1">IFERROR(__xludf.DUMMYFUNCTION("""COMPUTED_VALUE"""),"U")</f>
        <v>U</v>
      </c>
      <c r="L42" s="103"/>
      <c r="M42" s="103"/>
      <c r="N42" s="103">
        <f ca="1">IFERROR(__xludf.DUMMYFUNCTION("""COMPUTED_VALUE"""),5)</f>
        <v>5</v>
      </c>
      <c r="O42" s="103">
        <f ca="1">IFERROR(__xludf.DUMMYFUNCTION("""COMPUTED_VALUE"""),0)</f>
        <v>0</v>
      </c>
      <c r="P42" s="103">
        <f ca="1">IFERROR(__xludf.DUMMYFUNCTION("""COMPUTED_VALUE"""),0)</f>
        <v>0</v>
      </c>
      <c r="Q42" s="103">
        <f ca="1">IFERROR(__xludf.DUMMYFUNCTION("""COMPUTED_VALUE"""),0)</f>
        <v>0</v>
      </c>
      <c r="R42" s="103">
        <f ca="1">IFERROR(__xludf.DUMMYFUNCTION("""COMPUTED_VALUE"""),0)</f>
        <v>0</v>
      </c>
      <c r="S42" s="103" t="str">
        <f ca="1">IFERROR(__xludf.DUMMYFUNCTION("""COMPUTED_VALUE"""),"N")</f>
        <v>N</v>
      </c>
      <c r="T42" s="103">
        <f ca="1">IFERROR(__xludf.DUMMYFUNCTION("""COMPUTED_VALUE"""),1)</f>
        <v>1</v>
      </c>
      <c r="U42" s="103">
        <f ca="1">IFERROR(__xludf.DUMMYFUNCTION("""COMPUTED_VALUE"""),3)</f>
        <v>3</v>
      </c>
      <c r="V42" s="103"/>
      <c r="W42" s="103"/>
      <c r="X42" s="103"/>
      <c r="Y42" s="103"/>
      <c r="Z42" s="103"/>
      <c r="AA42" s="103"/>
      <c r="AB42" s="103"/>
      <c r="AC42" s="103"/>
      <c r="AD42" s="103">
        <f ca="1">IFERROR(__xludf.DUMMYFUNCTION("""COMPUTED_VALUE"""),74)</f>
        <v>74</v>
      </c>
      <c r="AE42" s="103">
        <f ca="1">IFERROR(__xludf.DUMMYFUNCTION("""COMPUTED_VALUE"""),17.3)</f>
        <v>17.3</v>
      </c>
      <c r="AF42" s="103">
        <f ca="1">IFERROR(__xludf.DUMMYFUNCTION("""COMPUTED_VALUE"""),300)</f>
        <v>300</v>
      </c>
      <c r="AG42" s="103">
        <f ca="1">IFERROR(__xludf.DUMMYFUNCTION("""COMPUTED_VALUE"""),6)</f>
        <v>6</v>
      </c>
      <c r="AH42" s="103">
        <f ca="1">IFERROR(__xludf.DUMMYFUNCTION("""COMPUTED_VALUE"""),7)</f>
        <v>7</v>
      </c>
      <c r="AI42" s="103">
        <f ca="1">IFERROR(__xludf.DUMMYFUNCTION("""COMPUTED_VALUE"""),1030)</f>
        <v>1030</v>
      </c>
      <c r="AJ42" s="103" t="str">
        <f ca="1">IFERROR(__xludf.DUMMYFUNCTION("""COMPUTED_VALUE"""),"MORS")</f>
        <v>MORS</v>
      </c>
      <c r="AK42" s="103">
        <f ca="1">IFERROR(__xludf.DUMMYFUNCTION("""COMPUTED_VALUE"""),7)</f>
        <v>7</v>
      </c>
      <c r="AL42" s="103"/>
      <c r="AM42" s="103"/>
      <c r="AN42" s="103"/>
      <c r="AO42" s="57">
        <f ca="1">IFERROR(__xludf.DUMMYFUNCTION("""COMPUTED_VALUE"""),1)</f>
        <v>1</v>
      </c>
      <c r="AP42" s="103">
        <f ca="1">IFERROR(__xludf.DUMMYFUNCTION("""COMPUTED_VALUE"""),4)</f>
        <v>4</v>
      </c>
    </row>
    <row r="43" spans="1:42">
      <c r="A43" s="103">
        <f ca="1">IFERROR(__xludf.DUMMYFUNCTION("""COMPUTED_VALUE"""),11)</f>
        <v>11</v>
      </c>
      <c r="B43" s="103" t="str">
        <f ca="1">IFERROR(__xludf.DUMMYFUNCTION("""COMPUTED_VALUE"""),"JHT")</f>
        <v>JHT</v>
      </c>
      <c r="C43" s="103" t="str">
        <f ca="1">IFERROR(__xludf.DUMMYFUNCTION("""COMPUTED_VALUE"""),"R")</f>
        <v>R</v>
      </c>
      <c r="D43" s="103">
        <f ca="1">IFERROR(__xludf.DUMMYFUNCTION("""COMPUTED_VALUE"""),282018289)</f>
        <v>282018289</v>
      </c>
      <c r="E43" s="103" t="str">
        <f ca="1">IFERROR(__xludf.DUMMYFUNCTION("""COMPUTED_VALUE"""),"Chestnut-backed Chickadee")</f>
        <v>Chestnut-backed Chickadee</v>
      </c>
      <c r="F43" s="103" t="str">
        <f ca="1">IFERROR(__xludf.DUMMYFUNCTION("""COMPUTED_VALUE"""),"CBCH")</f>
        <v>CBCH</v>
      </c>
      <c r="G43" s="103">
        <f ca="1">IFERROR(__xludf.DUMMYFUNCTION("""COMPUTED_VALUE"""),1)</f>
        <v>1</v>
      </c>
      <c r="H43" s="103" t="str">
        <f ca="1">IFERROR(__xludf.DUMMYFUNCTION("""COMPUTED_VALUE"""),"S")</f>
        <v>S</v>
      </c>
      <c r="I43" s="103" t="str">
        <f ca="1">IFERROR(__xludf.DUMMYFUNCTION("""COMPUTED_VALUE"""),"C")</f>
        <v>C</v>
      </c>
      <c r="J43" s="103" t="str">
        <f ca="1">IFERROR(__xludf.DUMMYFUNCTION("""COMPUTED_VALUE"""),"UAJ")</f>
        <v>UAJ</v>
      </c>
      <c r="K43" s="103" t="str">
        <f ca="1">IFERROR(__xludf.DUMMYFUNCTION("""COMPUTED_VALUE"""),"M")</f>
        <v>M</v>
      </c>
      <c r="L43" s="103" t="str">
        <f ca="1">IFERROR(__xludf.DUMMYFUNCTION("""COMPUTED_VALUE"""),"C")</f>
        <v>C</v>
      </c>
      <c r="M43" s="103" t="str">
        <f ca="1">IFERROR(__xludf.DUMMYFUNCTION("""COMPUTED_VALUE"""),"P")</f>
        <v>P</v>
      </c>
      <c r="N43" s="103">
        <f ca="1">IFERROR(__xludf.DUMMYFUNCTION("""COMPUTED_VALUE"""),6)</f>
        <v>6</v>
      </c>
      <c r="O43" s="103">
        <f ca="1">IFERROR(__xludf.DUMMYFUNCTION("""COMPUTED_VALUE"""),1)</f>
        <v>1</v>
      </c>
      <c r="P43" s="103">
        <f ca="1">IFERROR(__xludf.DUMMYFUNCTION("""COMPUTED_VALUE"""),0)</f>
        <v>0</v>
      </c>
      <c r="Q43" s="103">
        <f ca="1">IFERROR(__xludf.DUMMYFUNCTION("""COMPUTED_VALUE"""),1)</f>
        <v>1</v>
      </c>
      <c r="R43" s="103">
        <f ca="1">IFERROR(__xludf.DUMMYFUNCTION("""COMPUTED_VALUE"""),0)</f>
        <v>0</v>
      </c>
      <c r="S43" s="103" t="str">
        <f ca="1">IFERROR(__xludf.DUMMYFUNCTION("""COMPUTED_VALUE"""),"N")</f>
        <v>N</v>
      </c>
      <c r="T43" s="103">
        <f ca="1">IFERROR(__xludf.DUMMYFUNCTION("""COMPUTED_VALUE"""),2)</f>
        <v>2</v>
      </c>
      <c r="U43" s="103"/>
      <c r="V43" s="103"/>
      <c r="W43" s="103"/>
      <c r="X43" s="103"/>
      <c r="Y43" s="103"/>
      <c r="Z43" s="103"/>
      <c r="AA43" s="103"/>
      <c r="AB43" s="103"/>
      <c r="AC43" s="103"/>
      <c r="AD43" s="103">
        <f ca="1">IFERROR(__xludf.DUMMYFUNCTION("""COMPUTED_VALUE"""),60)</f>
        <v>60</v>
      </c>
      <c r="AE43" s="103">
        <f ca="1">IFERROR(__xludf.DUMMYFUNCTION("""COMPUTED_VALUE"""),9.7)</f>
        <v>9.6999999999999993</v>
      </c>
      <c r="AF43" s="103">
        <f ca="1">IFERROR(__xludf.DUMMYFUNCTION("""COMPUTED_VALUE"""),300)</f>
        <v>300</v>
      </c>
      <c r="AG43" s="103">
        <f ca="1">IFERROR(__xludf.DUMMYFUNCTION("""COMPUTED_VALUE"""),6)</f>
        <v>6</v>
      </c>
      <c r="AH43" s="103">
        <f ca="1">IFERROR(__xludf.DUMMYFUNCTION("""COMPUTED_VALUE"""),7)</f>
        <v>7</v>
      </c>
      <c r="AI43" s="103">
        <f ca="1">IFERROR(__xludf.DUMMYFUNCTION("""COMPUTED_VALUE"""),11)</f>
        <v>11</v>
      </c>
      <c r="AJ43" s="103" t="str">
        <f ca="1">IFERROR(__xludf.DUMMYFUNCTION("""COMPUTED_VALUE"""),"MORS")</f>
        <v>MORS</v>
      </c>
      <c r="AK43" s="103">
        <f ca="1">IFERROR(__xludf.DUMMYFUNCTION("""COMPUTED_VALUE"""),7)</f>
        <v>7</v>
      </c>
      <c r="AL43" s="103"/>
      <c r="AM43" s="103"/>
      <c r="AN43" s="103"/>
      <c r="AO43" s="57" t="str">
        <f ca="1">IFERROR(__xludf.DUMMYFUNCTION("""COMPUTED_VALUE"""),"R")</f>
        <v>R</v>
      </c>
      <c r="AP43" s="103">
        <f ca="1">IFERROR(__xludf.DUMMYFUNCTION("""COMPUTED_VALUE"""),4)</f>
        <v>4</v>
      </c>
    </row>
    <row r="44" spans="1:42">
      <c r="A44" s="103">
        <f ca="1">IFERROR(__xludf.DUMMYFUNCTION("""COMPUTED_VALUE"""),1)</f>
        <v>1</v>
      </c>
      <c r="B44" s="103" t="str">
        <f ca="1">IFERROR(__xludf.DUMMYFUNCTION("""COMPUTED_VALUE"""),"NDS")</f>
        <v>NDS</v>
      </c>
      <c r="C44" s="103" t="str">
        <f ca="1">IFERROR(__xludf.DUMMYFUNCTION("""COMPUTED_VALUE"""),"U")</f>
        <v>U</v>
      </c>
      <c r="D44" s="103"/>
      <c r="E44" s="103" t="str">
        <f ca="1">IFERROR(__xludf.DUMMYFUNCTION("""COMPUTED_VALUE"""),"Anna's Hummingbird")</f>
        <v>Anna's Hummingbird</v>
      </c>
      <c r="F44" s="103" t="str">
        <f ca="1">IFERROR(__xludf.DUMMYFUNCTION("""COMPUTED_VALUE"""),"ANHU")</f>
        <v>ANHU</v>
      </c>
      <c r="G44" s="103">
        <f ca="1">IFERROR(__xludf.DUMMYFUNCTION("""COMPUTED_VALUE"""),2)</f>
        <v>2</v>
      </c>
      <c r="H44" s="103" t="str">
        <f ca="1">IFERROR(__xludf.DUMMYFUNCTION("""COMPUTED_VALUE"""),"I")</f>
        <v>I</v>
      </c>
      <c r="I44" s="103" t="str">
        <f ca="1">IFERROR(__xludf.DUMMYFUNCTION("""COMPUTED_VALUE"""),"J")</f>
        <v>J</v>
      </c>
      <c r="J44" s="103" t="str">
        <f ca="1">IFERROR(__xludf.DUMMYFUNCTION("""COMPUTED_VALUE"""),"FCJ")</f>
        <v>FCJ</v>
      </c>
      <c r="K44" s="103" t="str">
        <f ca="1">IFERROR(__xludf.DUMMYFUNCTION("""COMPUTED_VALUE"""),"F")</f>
        <v>F</v>
      </c>
      <c r="L44" s="103" t="str">
        <f ca="1">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 ca="1">IFERROR(__xludf.DUMMYFUNCTION("""COMPUTED_VALUE"""),6)</f>
        <v>6</v>
      </c>
      <c r="AH44" s="103">
        <f ca="1">IFERROR(__xludf.DUMMYFUNCTION("""COMPUTED_VALUE"""),12)</f>
        <v>12</v>
      </c>
      <c r="AI44" s="103">
        <f ca="1">IFERROR(__xludf.DUMMYFUNCTION("""COMPUTED_VALUE"""),610)</f>
        <v>610</v>
      </c>
      <c r="AJ44" s="103" t="str">
        <f ca="1">IFERROR(__xludf.DUMMYFUNCTION("""COMPUTED_VALUE"""),"MORS")</f>
        <v>MORS</v>
      </c>
      <c r="AK44" s="103">
        <f ca="1">IFERROR(__xludf.DUMMYFUNCTION("""COMPUTED_VALUE"""),14)</f>
        <v>14</v>
      </c>
      <c r="AL44" s="103"/>
      <c r="AM44" s="103"/>
      <c r="AN44" s="103"/>
      <c r="AO44" s="57" t="str">
        <f ca="1">IFERROR(__xludf.DUMMYFUNCTION("""COMPUTED_VALUE"""),"U")</f>
        <v>U</v>
      </c>
      <c r="AP44" s="103">
        <f ca="1">IFERROR(__xludf.DUMMYFUNCTION("""COMPUTED_VALUE"""),1)</f>
        <v>1</v>
      </c>
    </row>
    <row r="45" spans="1:42">
      <c r="A45" s="103">
        <f ca="1">IFERROR(__xludf.DUMMYFUNCTION("""COMPUTED_VALUE"""),2)</f>
        <v>2</v>
      </c>
      <c r="B45" s="103" t="str">
        <f ca="1">IFERROR(__xludf.DUMMYFUNCTION("""COMPUTED_VALUE"""),"NDS")</f>
        <v>NDS</v>
      </c>
      <c r="C45" s="103" t="str">
        <f ca="1">IFERROR(__xludf.DUMMYFUNCTION("""COMPUTED_VALUE"""),"U")</f>
        <v>U</v>
      </c>
      <c r="D45" s="103"/>
      <c r="E45" s="103" t="str">
        <f ca="1">IFERROR(__xludf.DUMMYFUNCTION("""COMPUTED_VALUE"""),"Rufus Hummingbird")</f>
        <v>Rufus Hummingbird</v>
      </c>
      <c r="F45" s="103" t="str">
        <f ca="1">IFERROR(__xludf.DUMMYFUNCTION("""COMPUTED_VALUE"""),"RUHU")</f>
        <v>RUHU</v>
      </c>
      <c r="G45" s="103">
        <f ca="1">IFERROR(__xludf.DUMMYFUNCTION("""COMPUTED_VALUE"""),2)</f>
        <v>2</v>
      </c>
      <c r="H45" s="103" t="str">
        <f ca="1">IFERROR(__xludf.DUMMYFUNCTION("""COMPUTED_VALUE"""),"I")</f>
        <v>I</v>
      </c>
      <c r="I45" s="103" t="str">
        <f ca="1">IFERROR(__xludf.DUMMYFUNCTION("""COMPUTED_VALUE"""),"J")</f>
        <v>J</v>
      </c>
      <c r="J45" s="103" t="str">
        <f ca="1">IFERROR(__xludf.DUMMYFUNCTION("""COMPUTED_VALUE"""),"FCJ")</f>
        <v>FCJ</v>
      </c>
      <c r="K45" s="103" t="str">
        <f ca="1">IFERROR(__xludf.DUMMYFUNCTION("""COMPUTED_VALUE"""),"M")</f>
        <v>M</v>
      </c>
      <c r="L45" s="103" t="str">
        <f ca="1">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 ca="1">IFERROR(__xludf.DUMMYFUNCTION("""COMPUTED_VALUE"""),6)</f>
        <v>6</v>
      </c>
      <c r="AH45" s="103">
        <f ca="1">IFERROR(__xludf.DUMMYFUNCTION("""COMPUTED_VALUE"""),12)</f>
        <v>12</v>
      </c>
      <c r="AI45" s="103">
        <f ca="1">IFERROR(__xludf.DUMMYFUNCTION("""COMPUTED_VALUE"""),640)</f>
        <v>640</v>
      </c>
      <c r="AJ45" s="103" t="str">
        <f ca="1">IFERROR(__xludf.DUMMYFUNCTION("""COMPUTED_VALUE"""),"MORS")</f>
        <v>MORS</v>
      </c>
      <c r="AK45" s="103">
        <f ca="1">IFERROR(__xludf.DUMMYFUNCTION("""COMPUTED_VALUE"""),21)</f>
        <v>21</v>
      </c>
      <c r="AL45" s="103"/>
      <c r="AM45" s="103"/>
      <c r="AN45" s="103"/>
      <c r="AO45" s="57" t="str">
        <f ca="1">IFERROR(__xludf.DUMMYFUNCTION("""COMPUTED_VALUE"""),"U")</f>
        <v>U</v>
      </c>
      <c r="AP45" s="103">
        <f ca="1">IFERROR(__xludf.DUMMYFUNCTION("""COMPUTED_VALUE"""),1)</f>
        <v>1</v>
      </c>
    </row>
    <row r="46" spans="1:42">
      <c r="A46" s="103">
        <f ca="1">IFERROR(__xludf.DUMMYFUNCTION("""COMPUTED_VALUE"""),3)</f>
        <v>3</v>
      </c>
      <c r="B46" s="103" t="str">
        <f ca="1">IFERROR(__xludf.DUMMYFUNCTION("""COMPUTED_VALUE"""),"NDS")</f>
        <v>NDS</v>
      </c>
      <c r="C46" s="103" t="str">
        <f ca="1">IFERROR(__xludf.DUMMYFUNCTION("""COMPUTED_VALUE"""),"R")</f>
        <v>R</v>
      </c>
      <c r="D46" s="103">
        <f ca="1">IFERROR(__xludf.DUMMYFUNCTION("""COMPUTED_VALUE"""),178168889)</f>
        <v>178168889</v>
      </c>
      <c r="E46" s="103" t="str">
        <f ca="1">IFERROR(__xludf.DUMMYFUNCTION("""COMPUTED_VALUE"""),"Spotted Towhee")</f>
        <v>Spotted Towhee</v>
      </c>
      <c r="F46" s="103" t="str">
        <f ca="1">IFERROR(__xludf.DUMMYFUNCTION("""COMPUTED_VALUE"""),"SPTO")</f>
        <v>SPTO</v>
      </c>
      <c r="G46" s="103">
        <f ca="1">IFERROR(__xludf.DUMMYFUNCTION("""COMPUTED_VALUE"""),6)</f>
        <v>6</v>
      </c>
      <c r="H46" s="103" t="str">
        <f ca="1">IFERROR(__xludf.DUMMYFUNCTION("""COMPUTED_VALUE"""),"P")</f>
        <v>P</v>
      </c>
      <c r="I46" s="103"/>
      <c r="J46" s="103" t="str">
        <f ca="1">IFERROR(__xludf.DUMMYFUNCTION("""COMPUTED_VALUE"""),"DCB")</f>
        <v>DCB</v>
      </c>
      <c r="K46" s="103" t="str">
        <f ca="1">IFERROR(__xludf.DUMMYFUNCTION("""COMPUTED_VALUE"""),"M")</f>
        <v>M</v>
      </c>
      <c r="L46" s="103" t="str">
        <f ca="1">IFERROR(__xludf.DUMMYFUNCTION("""COMPUTED_VALUE"""),"P")</f>
        <v>P</v>
      </c>
      <c r="M46" s="103"/>
      <c r="N46" s="103"/>
      <c r="O46" s="103">
        <f ca="1">IFERROR(__xludf.DUMMYFUNCTION("""COMPUTED_VALUE"""),3)</f>
        <v>3</v>
      </c>
      <c r="P46" s="103">
        <f ca="1">IFERROR(__xludf.DUMMYFUNCTION("""COMPUTED_VALUE"""),0)</f>
        <v>0</v>
      </c>
      <c r="Q46" s="103">
        <f ca="1">IFERROR(__xludf.DUMMYFUNCTION("""COMPUTED_VALUE"""),1)</f>
        <v>1</v>
      </c>
      <c r="R46" s="103">
        <f ca="1">IFERROR(__xludf.DUMMYFUNCTION("""COMPUTED_VALUE"""),0)</f>
        <v>0</v>
      </c>
      <c r="S46" s="103" t="str">
        <f ca="1">IFERROR(__xludf.DUMMYFUNCTION("""COMPUTED_VALUE"""),"S")</f>
        <v>S</v>
      </c>
      <c r="T46" s="103">
        <f ca="1">IFERROR(__xludf.DUMMYFUNCTION("""COMPUTED_VALUE"""),2)</f>
        <v>2</v>
      </c>
      <c r="U46" s="103"/>
      <c r="V46" s="103" t="str">
        <f ca="1">IFERROR(__xludf.DUMMYFUNCTION("""COMPUTED_VALUE"""),"B")</f>
        <v>B</v>
      </c>
      <c r="W46" s="103" t="str">
        <f ca="1">IFERROR(__xludf.DUMMYFUNCTION("""COMPUTED_VALUE"""),"B")</f>
        <v>B</v>
      </c>
      <c r="X46" s="103"/>
      <c r="Y46" s="103"/>
      <c r="Z46" s="103"/>
      <c r="AA46" s="103" t="str">
        <f ca="1">IFERROR(__xludf.DUMMYFUNCTION("""COMPUTED_VALUE"""),"B")</f>
        <v>B</v>
      </c>
      <c r="AB46" s="103"/>
      <c r="AC46" s="103"/>
      <c r="AD46" s="103">
        <f ca="1">IFERROR(__xludf.DUMMYFUNCTION("""COMPUTED_VALUE"""),84)</f>
        <v>84</v>
      </c>
      <c r="AE46" s="103">
        <f ca="1">IFERROR(__xludf.DUMMYFUNCTION("""COMPUTED_VALUE"""),37.1)</f>
        <v>37.1</v>
      </c>
      <c r="AF46" s="103">
        <f ca="1">IFERROR(__xludf.DUMMYFUNCTION("""COMPUTED_VALUE"""),300)</f>
        <v>300</v>
      </c>
      <c r="AG46" s="103">
        <f ca="1">IFERROR(__xludf.DUMMYFUNCTION("""COMPUTED_VALUE"""),6)</f>
        <v>6</v>
      </c>
      <c r="AH46" s="103">
        <f ca="1">IFERROR(__xludf.DUMMYFUNCTION("""COMPUTED_VALUE"""),12)</f>
        <v>12</v>
      </c>
      <c r="AI46" s="103">
        <f ca="1">IFERROR(__xludf.DUMMYFUNCTION("""COMPUTED_VALUE"""),710)</f>
        <v>710</v>
      </c>
      <c r="AJ46" s="103" t="str">
        <f ca="1">IFERROR(__xludf.DUMMYFUNCTION("""COMPUTED_VALUE"""),"MORS")</f>
        <v>MORS</v>
      </c>
      <c r="AK46" s="103">
        <f ca="1">IFERROR(__xludf.DUMMYFUNCTION("""COMPUTED_VALUE"""),8)</f>
        <v>8</v>
      </c>
      <c r="AL46" s="103"/>
      <c r="AM46" s="103">
        <f ca="1">IFERROR(__xludf.DUMMYFUNCTION("""COMPUTED_VALUE"""),1)</f>
        <v>1</v>
      </c>
      <c r="AN46" s="103" t="str">
        <f ca="1">IFERROR(__xludf.DUMMYFUNCTION("""COMPUTED_VALUE"""),"RR4 6mm white spot. LR4 5mm")</f>
        <v>RR4 6mm white spot. LR4 5mm</v>
      </c>
      <c r="AO46" s="57" t="str">
        <f ca="1">IFERROR(__xludf.DUMMYFUNCTION("""COMPUTED_VALUE"""),"R")</f>
        <v>R</v>
      </c>
      <c r="AP46" s="103">
        <f ca="1">IFERROR(__xludf.DUMMYFUNCTION("""COMPUTED_VALUE"""),1)</f>
        <v>1</v>
      </c>
    </row>
    <row r="47" spans="1:42">
      <c r="A47" s="103">
        <f ca="1">IFERROR(__xludf.DUMMYFUNCTION("""COMPUTED_VALUE"""),4)</f>
        <v>4</v>
      </c>
      <c r="B47" s="103" t="str">
        <f ca="1">IFERROR(__xludf.DUMMYFUNCTION("""COMPUTED_VALUE"""),"NDS")</f>
        <v>NDS</v>
      </c>
      <c r="C47" s="103" t="str">
        <f ca="1">IFERROR(__xludf.DUMMYFUNCTION("""COMPUTED_VALUE"""),"U")</f>
        <v>U</v>
      </c>
      <c r="D47" s="103"/>
      <c r="E47" s="103" t="str">
        <f ca="1">IFERROR(__xludf.DUMMYFUNCTION("""COMPUTED_VALUE"""),"Rufus Hummingbird")</f>
        <v>Rufus Hummingbird</v>
      </c>
      <c r="F47" s="103" t="str">
        <f ca="1">IFERROR(__xludf.DUMMYFUNCTION("""COMPUTED_VALUE"""),"RUHU")</f>
        <v>RUHU</v>
      </c>
      <c r="G47" s="103">
        <f ca="1">IFERROR(__xludf.DUMMYFUNCTION("""COMPUTED_VALUE"""),5)</f>
        <v>5</v>
      </c>
      <c r="H47" s="103" t="str">
        <f ca="1">IFERROR(__xludf.DUMMYFUNCTION("""COMPUTED_VALUE"""),"P")</f>
        <v>P</v>
      </c>
      <c r="I47" s="103"/>
      <c r="J47" s="103" t="str">
        <f ca="1">IFERROR(__xludf.DUMMYFUNCTION("""COMPUTED_VALUE"""),"DCB")</f>
        <v>DCB</v>
      </c>
      <c r="K47" s="103" t="str">
        <f ca="1">IFERROR(__xludf.DUMMYFUNCTION("""COMPUTED_VALUE"""),"F")</f>
        <v>F</v>
      </c>
      <c r="L47" s="103" t="str">
        <f ca="1">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 ca="1">IFERROR(__xludf.DUMMYFUNCTION("""COMPUTED_VALUE"""),6)</f>
        <v>6</v>
      </c>
      <c r="AH47" s="103">
        <f ca="1">IFERROR(__xludf.DUMMYFUNCTION("""COMPUTED_VALUE"""),12)</f>
        <v>12</v>
      </c>
      <c r="AI47" s="103">
        <f ca="1">IFERROR(__xludf.DUMMYFUNCTION("""COMPUTED_VALUE"""),740)</f>
        <v>740</v>
      </c>
      <c r="AJ47" s="103" t="str">
        <f ca="1">IFERROR(__xludf.DUMMYFUNCTION("""COMPUTED_VALUE"""),"MORS")</f>
        <v>MORS</v>
      </c>
      <c r="AK47" s="103">
        <f ca="1">IFERROR(__xludf.DUMMYFUNCTION("""COMPUTED_VALUE"""),21)</f>
        <v>21</v>
      </c>
      <c r="AL47" s="103"/>
      <c r="AM47" s="103"/>
      <c r="AN47" s="103"/>
      <c r="AO47" s="57" t="str">
        <f ca="1">IFERROR(__xludf.DUMMYFUNCTION("""COMPUTED_VALUE"""),"U")</f>
        <v>U</v>
      </c>
      <c r="AP47" s="103">
        <f ca="1">IFERROR(__xludf.DUMMYFUNCTION("""COMPUTED_VALUE"""),1)</f>
        <v>1</v>
      </c>
    </row>
    <row r="48" spans="1:42">
      <c r="A48" s="103">
        <f ca="1">IFERROR(__xludf.DUMMYFUNCTION("""COMPUTED_VALUE"""),5)</f>
        <v>5</v>
      </c>
      <c r="B48" s="103" t="str">
        <f ca="1">IFERROR(__xludf.DUMMYFUNCTION("""COMPUTED_VALUE"""),"NDS")</f>
        <v>NDS</v>
      </c>
      <c r="C48" s="103" t="str">
        <f ca="1">IFERROR(__xludf.DUMMYFUNCTION("""COMPUTED_VALUE"""),"R")</f>
        <v>R</v>
      </c>
      <c r="D48" s="103">
        <f ca="1">IFERROR(__xludf.DUMMYFUNCTION("""COMPUTED_VALUE"""),282018289)</f>
        <v>282018289</v>
      </c>
      <c r="E48" s="103" t="str">
        <f ca="1">IFERROR(__xludf.DUMMYFUNCTION("""COMPUTED_VALUE"""),"Chestnut-backed Chickadee")</f>
        <v>Chestnut-backed Chickadee</v>
      </c>
      <c r="F48" s="103" t="str">
        <f ca="1">IFERROR(__xludf.DUMMYFUNCTION("""COMPUTED_VALUE"""),"CBCH")</f>
        <v>CBCH</v>
      </c>
      <c r="G48" s="103">
        <f ca="1">IFERROR(__xludf.DUMMYFUNCTION("""COMPUTED_VALUE"""),5)</f>
        <v>5</v>
      </c>
      <c r="H48" s="103" t="str">
        <f ca="1">IFERROR(__xludf.DUMMYFUNCTION("""COMPUTED_VALUE"""),"P")</f>
        <v>P</v>
      </c>
      <c r="I48" s="103"/>
      <c r="J48" s="103" t="str">
        <f ca="1">IFERROR(__xludf.DUMMYFUNCTION("""COMPUTED_VALUE"""),"UAJ")</f>
        <v>UAJ</v>
      </c>
      <c r="K48" s="103" t="str">
        <f ca="1">IFERROR(__xludf.DUMMYFUNCTION("""COMPUTED_VALUE"""),"U")</f>
        <v>U</v>
      </c>
      <c r="L48" s="103"/>
      <c r="M48" s="103"/>
      <c r="N48" s="103"/>
      <c r="O48" s="103">
        <f ca="1">IFERROR(__xludf.DUMMYFUNCTION("""COMPUTED_VALUE"""),0)</f>
        <v>0</v>
      </c>
      <c r="P48" s="103">
        <f ca="1">IFERROR(__xludf.DUMMYFUNCTION("""COMPUTED_VALUE"""),0)</f>
        <v>0</v>
      </c>
      <c r="Q48" s="103">
        <f ca="1">IFERROR(__xludf.DUMMYFUNCTION("""COMPUTED_VALUE"""),1)</f>
        <v>1</v>
      </c>
      <c r="R48" s="103">
        <f ca="1">IFERROR(__xludf.DUMMYFUNCTION("""COMPUTED_VALUE"""),0)</f>
        <v>0</v>
      </c>
      <c r="S48" s="103" t="str">
        <f ca="1">IFERROR(__xludf.DUMMYFUNCTION("""COMPUTED_VALUE"""),"N")</f>
        <v>N</v>
      </c>
      <c r="T48" s="103">
        <f ca="1">IFERROR(__xludf.DUMMYFUNCTION("""COMPUTED_VALUE"""),2)</f>
        <v>2</v>
      </c>
      <c r="U48" s="103"/>
      <c r="V48" s="103"/>
      <c r="W48" s="103"/>
      <c r="X48" s="103"/>
      <c r="Y48" s="103"/>
      <c r="Z48" s="103"/>
      <c r="AA48" s="103"/>
      <c r="AB48" s="103"/>
      <c r="AC48" s="103"/>
      <c r="AD48" s="103">
        <f ca="1">IFERROR(__xludf.DUMMYFUNCTION("""COMPUTED_VALUE"""),60)</f>
        <v>60</v>
      </c>
      <c r="AE48" s="103">
        <f ca="1">IFERROR(__xludf.DUMMYFUNCTION("""COMPUTED_VALUE"""),9.4)</f>
        <v>9.4</v>
      </c>
      <c r="AF48" s="103">
        <f ca="1">IFERROR(__xludf.DUMMYFUNCTION("""COMPUTED_VALUE"""),300)</f>
        <v>300</v>
      </c>
      <c r="AG48" s="103">
        <f ca="1">IFERROR(__xludf.DUMMYFUNCTION("""COMPUTED_VALUE"""),6)</f>
        <v>6</v>
      </c>
      <c r="AH48" s="103">
        <f ca="1">IFERROR(__xludf.DUMMYFUNCTION("""COMPUTED_VALUE"""),12)</f>
        <v>12</v>
      </c>
      <c r="AI48" s="103">
        <f ca="1">IFERROR(__xludf.DUMMYFUNCTION("""COMPUTED_VALUE"""),840)</f>
        <v>840</v>
      </c>
      <c r="AJ48" s="103" t="str">
        <f ca="1">IFERROR(__xludf.DUMMYFUNCTION("""COMPUTED_VALUE"""),"MORS")</f>
        <v>MORS</v>
      </c>
      <c r="AK48" s="103">
        <f ca="1">IFERROR(__xludf.DUMMYFUNCTION("""COMPUTED_VALUE"""),20)</f>
        <v>20</v>
      </c>
      <c r="AL48" s="103"/>
      <c r="AM48" s="103"/>
      <c r="AN48" s="103"/>
      <c r="AO48" s="57" t="str">
        <f ca="1">IFERROR(__xludf.DUMMYFUNCTION("""COMPUTED_VALUE"""),"R")</f>
        <v>R</v>
      </c>
      <c r="AP48" s="103">
        <f ca="1">IFERROR(__xludf.DUMMYFUNCTION("""COMPUTED_VALUE"""),1)</f>
        <v>1</v>
      </c>
    </row>
    <row r="49" spans="1:42">
      <c r="A49" s="103">
        <f ca="1">IFERROR(__xludf.DUMMYFUNCTION("""COMPUTED_VALUE"""),6)</f>
        <v>6</v>
      </c>
      <c r="B49" s="103" t="str">
        <f ca="1">IFERROR(__xludf.DUMMYFUNCTION("""COMPUTED_VALUE"""),"NDS")</f>
        <v>NDS</v>
      </c>
      <c r="C49" s="103" t="str">
        <f ca="1">IFERROR(__xludf.DUMMYFUNCTION("""COMPUTED_VALUE"""),"N")</f>
        <v>N</v>
      </c>
      <c r="D49" s="103">
        <f ca="1">IFERROR(__xludf.DUMMYFUNCTION("""COMPUTED_VALUE"""),281191225)</f>
        <v>281191225</v>
      </c>
      <c r="E49" s="103" t="str">
        <f ca="1">IFERROR(__xludf.DUMMYFUNCTION("""COMPUTED_VALUE"""),"Purple Finch")</f>
        <v>Purple Finch</v>
      </c>
      <c r="F49" s="103" t="str">
        <f ca="1">IFERROR(__xludf.DUMMYFUNCTION("""COMPUTED_VALUE"""),"PUFI")</f>
        <v>PUFI</v>
      </c>
      <c r="G49" s="103">
        <f ca="1">IFERROR(__xludf.DUMMYFUNCTION("""COMPUTED_VALUE"""),6)</f>
        <v>6</v>
      </c>
      <c r="H49" s="103" t="str">
        <f ca="1">IFERROR(__xludf.DUMMYFUNCTION("""COMPUTED_VALUE"""),"P")</f>
        <v>P</v>
      </c>
      <c r="I49" s="103"/>
      <c r="J49" s="103" t="str">
        <f ca="1">IFERROR(__xludf.DUMMYFUNCTION("""COMPUTED_VALUE"""),"DCB")</f>
        <v>DCB</v>
      </c>
      <c r="K49" s="103" t="str">
        <f ca="1">IFERROR(__xludf.DUMMYFUNCTION("""COMPUTED_VALUE"""),"F")</f>
        <v>F</v>
      </c>
      <c r="L49" s="103" t="str">
        <f ca="1">IFERROR(__xludf.DUMMYFUNCTION("""COMPUTED_VALUE"""),"B")</f>
        <v>B</v>
      </c>
      <c r="M49" s="103"/>
      <c r="N49" s="103"/>
      <c r="O49" s="103">
        <f ca="1">IFERROR(__xludf.DUMMYFUNCTION("""COMPUTED_VALUE"""),0)</f>
        <v>0</v>
      </c>
      <c r="P49" s="103">
        <f ca="1">IFERROR(__xludf.DUMMYFUNCTION("""COMPUTED_VALUE"""),4)</f>
        <v>4</v>
      </c>
      <c r="Q49" s="103">
        <f ca="1">IFERROR(__xludf.DUMMYFUNCTION("""COMPUTED_VALUE"""),1)</f>
        <v>1</v>
      </c>
      <c r="R49" s="103">
        <f ca="1">IFERROR(__xludf.DUMMYFUNCTION("""COMPUTED_VALUE"""),0)</f>
        <v>0</v>
      </c>
      <c r="S49" s="103" t="str">
        <f ca="1">IFERROR(__xludf.DUMMYFUNCTION("""COMPUTED_VALUE"""),"N")</f>
        <v>N</v>
      </c>
      <c r="T49" s="103">
        <f ca="1">IFERROR(__xludf.DUMMYFUNCTION("""COMPUTED_VALUE"""),2)</f>
        <v>2</v>
      </c>
      <c r="U49" s="103"/>
      <c r="V49" s="103" t="str">
        <f ca="1">IFERROR(__xludf.DUMMYFUNCTION("""COMPUTED_VALUE"""),"B")</f>
        <v>B</v>
      </c>
      <c r="W49" s="103"/>
      <c r="X49" s="103"/>
      <c r="Y49" s="103"/>
      <c r="Z49" s="103"/>
      <c r="AA49" s="103" t="str">
        <f ca="1">IFERROR(__xludf.DUMMYFUNCTION("""COMPUTED_VALUE"""),"B")</f>
        <v>B</v>
      </c>
      <c r="AB49" s="103"/>
      <c r="AC49" s="103"/>
      <c r="AD49" s="103">
        <f ca="1">IFERROR(__xludf.DUMMYFUNCTION("""COMPUTED_VALUE"""),76)</f>
        <v>76</v>
      </c>
      <c r="AE49" s="103">
        <f ca="1">IFERROR(__xludf.DUMMYFUNCTION("""COMPUTED_VALUE"""),25.3)</f>
        <v>25.3</v>
      </c>
      <c r="AF49" s="103">
        <f ca="1">IFERROR(__xludf.DUMMYFUNCTION("""COMPUTED_VALUE"""),300)</f>
        <v>300</v>
      </c>
      <c r="AG49" s="103">
        <f ca="1">IFERROR(__xludf.DUMMYFUNCTION("""COMPUTED_VALUE"""),6)</f>
        <v>6</v>
      </c>
      <c r="AH49" s="103">
        <f ca="1">IFERROR(__xludf.DUMMYFUNCTION("""COMPUTED_VALUE"""),12)</f>
        <v>12</v>
      </c>
      <c r="AI49" s="103">
        <f ca="1">IFERROR(__xludf.DUMMYFUNCTION("""COMPUTED_VALUE"""),840)</f>
        <v>840</v>
      </c>
      <c r="AJ49" s="103" t="str">
        <f ca="1">IFERROR(__xludf.DUMMYFUNCTION("""COMPUTED_VALUE"""),"MORS")</f>
        <v>MORS</v>
      </c>
      <c r="AK49" s="103">
        <f ca="1">IFERROR(__xludf.DUMMYFUNCTION("""COMPUTED_VALUE"""),7)</f>
        <v>7</v>
      </c>
      <c r="AL49" s="103"/>
      <c r="AM49" s="103"/>
      <c r="AN49" s="103"/>
      <c r="AO49" s="57">
        <f ca="1">IFERROR(__xludf.DUMMYFUNCTION("""COMPUTED_VALUE"""),1)</f>
        <v>1</v>
      </c>
      <c r="AP49" s="103">
        <f ca="1">IFERROR(__xludf.DUMMYFUNCTION("""COMPUTED_VALUE"""),1)</f>
        <v>1</v>
      </c>
    </row>
    <row r="50" spans="1:42">
      <c r="A50" s="103">
        <f ca="1">IFERROR(__xludf.DUMMYFUNCTION("""COMPUTED_VALUE"""),7)</f>
        <v>7</v>
      </c>
      <c r="B50" s="103" t="str">
        <f ca="1">IFERROR(__xludf.DUMMYFUNCTION("""COMPUTED_VALUE"""),"NDS")</f>
        <v>NDS</v>
      </c>
      <c r="C50" s="103" t="str">
        <f ca="1">IFERROR(__xludf.DUMMYFUNCTION("""COMPUTED_VALUE"""),"R")</f>
        <v>R</v>
      </c>
      <c r="D50" s="103">
        <f ca="1">IFERROR(__xludf.DUMMYFUNCTION("""COMPUTED_VALUE"""),281191226)</f>
        <v>281191226</v>
      </c>
      <c r="E50" s="103" t="str">
        <f ca="1">IFERROR(__xludf.DUMMYFUNCTION("""COMPUTED_VALUE"""),"Oregon Junco")</f>
        <v>Oregon Junco</v>
      </c>
      <c r="F50" s="103" t="str">
        <f ca="1">IFERROR(__xludf.DUMMYFUNCTION("""COMPUTED_VALUE"""),"ORJU")</f>
        <v>ORJU</v>
      </c>
      <c r="G50" s="103">
        <f ca="1">IFERROR(__xludf.DUMMYFUNCTION("""COMPUTED_VALUE"""),1)</f>
        <v>1</v>
      </c>
      <c r="H50" s="103" t="str">
        <f ca="1">IFERROR(__xludf.DUMMYFUNCTION("""COMPUTED_VALUE"""),"P")</f>
        <v>P</v>
      </c>
      <c r="I50" s="103"/>
      <c r="J50" s="103" t="str">
        <f ca="1">IFERROR(__xludf.DUMMYFUNCTION("""COMPUTED_VALUE"""),"UAJ")</f>
        <v>UAJ</v>
      </c>
      <c r="K50" s="103" t="str">
        <f ca="1">IFERROR(__xludf.DUMMYFUNCTION("""COMPUTED_VALUE"""),"M")</f>
        <v>M</v>
      </c>
      <c r="L50" s="103" t="str">
        <f ca="1">IFERROR(__xludf.DUMMYFUNCTION("""COMPUTED_VALUE"""),"P")</f>
        <v>P</v>
      </c>
      <c r="M50" s="103" t="str">
        <f ca="1">IFERROR(__xludf.DUMMYFUNCTION("""COMPUTED_VALUE"""),"C")</f>
        <v>C</v>
      </c>
      <c r="N50" s="103"/>
      <c r="O50" s="103">
        <f ca="1">IFERROR(__xludf.DUMMYFUNCTION("""COMPUTED_VALUE"""),3)</f>
        <v>3</v>
      </c>
      <c r="P50" s="103">
        <f ca="1">IFERROR(__xludf.DUMMYFUNCTION("""COMPUTED_VALUE"""),0)</f>
        <v>0</v>
      </c>
      <c r="Q50" s="103">
        <f ca="1">IFERROR(__xludf.DUMMYFUNCTION("""COMPUTED_VALUE"""),0)</f>
        <v>0</v>
      </c>
      <c r="R50" s="103">
        <f ca="1">IFERROR(__xludf.DUMMYFUNCTION("""COMPUTED_VALUE"""),0)</f>
        <v>0</v>
      </c>
      <c r="S50" s="103" t="str">
        <f ca="1">IFERROR(__xludf.DUMMYFUNCTION("""COMPUTED_VALUE"""),"N")</f>
        <v>N</v>
      </c>
      <c r="T50" s="103">
        <f ca="1">IFERROR(__xludf.DUMMYFUNCTION("""COMPUTED_VALUE"""),2)</f>
        <v>2</v>
      </c>
      <c r="U50" s="103"/>
      <c r="V50" s="103" t="str">
        <f ca="1">IFERROR(__xludf.DUMMYFUNCTION("""COMPUTED_VALUE"""),"B")</f>
        <v>B</v>
      </c>
      <c r="W50" s="103"/>
      <c r="X50" s="103"/>
      <c r="Y50" s="103"/>
      <c r="Z50" s="103"/>
      <c r="AA50" s="103" t="str">
        <f ca="1">IFERROR(__xludf.DUMMYFUNCTION("""COMPUTED_VALUE"""),"B")</f>
        <v>B</v>
      </c>
      <c r="AB50" s="103" t="str">
        <f ca="1">IFERROR(__xludf.DUMMYFUNCTION("""COMPUTED_VALUE"""),"U")</f>
        <v>U</v>
      </c>
      <c r="AC50" s="103"/>
      <c r="AD50" s="103">
        <f ca="1">IFERROR(__xludf.DUMMYFUNCTION("""COMPUTED_VALUE"""),76)</f>
        <v>76</v>
      </c>
      <c r="AE50" s="103">
        <f ca="1">IFERROR(__xludf.DUMMYFUNCTION("""COMPUTED_VALUE"""),18.8)</f>
        <v>18.8</v>
      </c>
      <c r="AF50" s="103">
        <f ca="1">IFERROR(__xludf.DUMMYFUNCTION("""COMPUTED_VALUE"""),300)</f>
        <v>300</v>
      </c>
      <c r="AG50" s="103">
        <f ca="1">IFERROR(__xludf.DUMMYFUNCTION("""COMPUTED_VALUE"""),6)</f>
        <v>6</v>
      </c>
      <c r="AH50" s="103">
        <f ca="1">IFERROR(__xludf.DUMMYFUNCTION("""COMPUTED_VALUE"""),12)</f>
        <v>12</v>
      </c>
      <c r="AI50" s="103">
        <f ca="1">IFERROR(__xludf.DUMMYFUNCTION("""COMPUTED_VALUE"""),920)</f>
        <v>920</v>
      </c>
      <c r="AJ50" s="103" t="str">
        <f ca="1">IFERROR(__xludf.DUMMYFUNCTION("""COMPUTED_VALUE"""),"MORS")</f>
        <v>MORS</v>
      </c>
      <c r="AK50" s="103">
        <f ca="1">IFERROR(__xludf.DUMMYFUNCTION("""COMPUTED_VALUE"""),10)</f>
        <v>10</v>
      </c>
      <c r="AL50" s="103"/>
      <c r="AM50" s="103">
        <f ca="1">IFERROR(__xludf.DUMMYFUNCTION("""COMPUTED_VALUE"""),2)</f>
        <v>2</v>
      </c>
      <c r="AN50" s="103" t="str">
        <f ca="1">IFERROR(__xludf.DUMMYFUNCTION("""COMPUTED_VALUE"""),"Black hood has brown edges and grey tones. all else pointed ASY except crown/nape. R4 20% white")</f>
        <v>Black hood has brown edges and grey tones. all else pointed ASY except crown/nape. R4 20% white</v>
      </c>
      <c r="AO50" s="57" t="str">
        <f ca="1">IFERROR(__xludf.DUMMYFUNCTION("""COMPUTED_VALUE"""),"R")</f>
        <v>R</v>
      </c>
      <c r="AP50" s="103">
        <f ca="1">IFERROR(__xludf.DUMMYFUNCTION("""COMPUTED_VALUE"""),1)</f>
        <v>1</v>
      </c>
    </row>
    <row r="51" spans="1:42">
      <c r="A51" s="103">
        <f ca="1">IFERROR(__xludf.DUMMYFUNCTION("""COMPUTED_VALUE"""),8)</f>
        <v>8</v>
      </c>
      <c r="B51" s="103" t="str">
        <f ca="1">IFERROR(__xludf.DUMMYFUNCTION("""COMPUTED_VALUE"""),"NDS")</f>
        <v>NDS</v>
      </c>
      <c r="C51" s="103" t="str">
        <f ca="1">IFERROR(__xludf.DUMMYFUNCTION("""COMPUTED_VALUE"""),"R")</f>
        <v>R</v>
      </c>
      <c r="D51" s="103">
        <f ca="1">IFERROR(__xludf.DUMMYFUNCTION("""COMPUTED_VALUE"""),131215188)</f>
        <v>131215188</v>
      </c>
      <c r="E51" s="103" t="str">
        <f ca="1">IFERROR(__xludf.DUMMYFUNCTION("""COMPUTED_VALUE"""),"American Robin")</f>
        <v>American Robin</v>
      </c>
      <c r="F51" s="103" t="str">
        <f ca="1">IFERROR(__xludf.DUMMYFUNCTION("""COMPUTED_VALUE"""),"AMRO")</f>
        <v>AMRO</v>
      </c>
      <c r="G51" s="103">
        <f ca="1">IFERROR(__xludf.DUMMYFUNCTION("""COMPUTED_VALUE"""),5)</f>
        <v>5</v>
      </c>
      <c r="H51" s="103" t="str">
        <f ca="1">IFERROR(__xludf.DUMMYFUNCTION("""COMPUTED_VALUE"""),"P")</f>
        <v>P</v>
      </c>
      <c r="I51" s="103"/>
      <c r="J51" s="103" t="str">
        <f ca="1">IFERROR(__xludf.DUMMYFUNCTION("""COMPUTED_VALUE"""),"FCF")</f>
        <v>FCF</v>
      </c>
      <c r="K51" s="103" t="str">
        <f ca="1">IFERROR(__xludf.DUMMYFUNCTION("""COMPUTED_VALUE"""),"F")</f>
        <v>F</v>
      </c>
      <c r="L51" s="103" t="str">
        <f ca="1">IFERROR(__xludf.DUMMYFUNCTION("""COMPUTED_VALUE"""),"B")</f>
        <v>B</v>
      </c>
      <c r="M51" s="103" t="str">
        <f ca="1">IFERROR(__xludf.DUMMYFUNCTION("""COMPUTED_VALUE"""),"P")</f>
        <v>P</v>
      </c>
      <c r="N51" s="103"/>
      <c r="O51" s="103">
        <f ca="1">IFERROR(__xludf.DUMMYFUNCTION("""COMPUTED_VALUE"""),0)</f>
        <v>0</v>
      </c>
      <c r="P51" s="103">
        <f ca="1">IFERROR(__xludf.DUMMYFUNCTION("""COMPUTED_VALUE"""),2)</f>
        <v>2</v>
      </c>
      <c r="Q51" s="103">
        <f ca="1">IFERROR(__xludf.DUMMYFUNCTION("""COMPUTED_VALUE"""),3)</f>
        <v>3</v>
      </c>
      <c r="R51" s="103">
        <f ca="1">IFERROR(__xludf.DUMMYFUNCTION("""COMPUTED_VALUE"""),0)</f>
        <v>0</v>
      </c>
      <c r="S51" s="103" t="str">
        <f ca="1">IFERROR(__xludf.DUMMYFUNCTION("""COMPUTED_VALUE"""),"N")</f>
        <v>N</v>
      </c>
      <c r="T51" s="103">
        <f ca="1">IFERROR(__xludf.DUMMYFUNCTION("""COMPUTED_VALUE"""),2)</f>
        <v>2</v>
      </c>
      <c r="U51" s="103"/>
      <c r="V51" s="103" t="str">
        <f ca="1">IFERROR(__xludf.DUMMYFUNCTION("""COMPUTED_VALUE"""),"J")</f>
        <v>J</v>
      </c>
      <c r="W51" s="103"/>
      <c r="X51" s="103"/>
      <c r="Y51" s="103"/>
      <c r="Z51" s="103"/>
      <c r="AA51" s="103" t="str">
        <f ca="1">IFERROR(__xludf.DUMMYFUNCTION("""COMPUTED_VALUE"""),"J")</f>
        <v>J</v>
      </c>
      <c r="AB51" s="103"/>
      <c r="AC51" s="103"/>
      <c r="AD51" s="103">
        <f ca="1">IFERROR(__xludf.DUMMYFUNCTION("""COMPUTED_VALUE"""),128)</f>
        <v>128</v>
      </c>
      <c r="AE51" s="103">
        <f ca="1">IFERROR(__xludf.DUMMYFUNCTION("""COMPUTED_VALUE"""),82.8)</f>
        <v>82.8</v>
      </c>
      <c r="AF51" s="103">
        <f ca="1">IFERROR(__xludf.DUMMYFUNCTION("""COMPUTED_VALUE"""),300)</f>
        <v>300</v>
      </c>
      <c r="AG51" s="103">
        <f ca="1">IFERROR(__xludf.DUMMYFUNCTION("""COMPUTED_VALUE"""),6)</f>
        <v>6</v>
      </c>
      <c r="AH51" s="103">
        <f ca="1">IFERROR(__xludf.DUMMYFUNCTION("""COMPUTED_VALUE"""),12)</f>
        <v>12</v>
      </c>
      <c r="AI51" s="103">
        <f ca="1">IFERROR(__xludf.DUMMYFUNCTION("""COMPUTED_VALUE"""),10)</f>
        <v>10</v>
      </c>
      <c r="AJ51" s="103" t="str">
        <f ca="1">IFERROR(__xludf.DUMMYFUNCTION("""COMPUTED_VALUE"""),"MORS")</f>
        <v>MORS</v>
      </c>
      <c r="AK51" s="103">
        <f ca="1">IFERROR(__xludf.DUMMYFUNCTION("""COMPUTED_VALUE"""),0)</f>
        <v>0</v>
      </c>
      <c r="AL51" s="103"/>
      <c r="AM51" s="103"/>
      <c r="AN51" s="103"/>
      <c r="AO51" s="57" t="str">
        <f ca="1">IFERROR(__xludf.DUMMYFUNCTION("""COMPUTED_VALUE"""),"R")</f>
        <v>R</v>
      </c>
      <c r="AP51" s="103">
        <f ca="1">IFERROR(__xludf.DUMMYFUNCTION("""COMPUTED_VALUE"""),1)</f>
        <v>1</v>
      </c>
    </row>
    <row r="52" spans="1:42">
      <c r="A52" s="103">
        <f ca="1">IFERROR(__xludf.DUMMYFUNCTION("""COMPUTED_VALUE"""),9)</f>
        <v>9</v>
      </c>
      <c r="B52" s="103" t="str">
        <f ca="1">IFERROR(__xludf.DUMMYFUNCTION("""COMPUTED_VALUE"""),"NDS")</f>
        <v>NDS</v>
      </c>
      <c r="C52" s="103" t="str">
        <f ca="1">IFERROR(__xludf.DUMMYFUNCTION("""COMPUTED_VALUE"""),"N")</f>
        <v>N</v>
      </c>
      <c r="D52" s="103">
        <f ca="1">IFERROR(__xludf.DUMMYFUNCTION("""COMPUTED_VALUE"""),290077833)</f>
        <v>290077833</v>
      </c>
      <c r="E52" s="103" t="str">
        <f ca="1">IFERROR(__xludf.DUMMYFUNCTION("""COMPUTED_VALUE"""),"Pacific-slope Flycatcher")</f>
        <v>Pacific-slope Flycatcher</v>
      </c>
      <c r="F52" s="103" t="str">
        <f ca="1">IFERROR(__xludf.DUMMYFUNCTION("""COMPUTED_VALUE"""),"PSFL")</f>
        <v>PSFL</v>
      </c>
      <c r="G52" s="103">
        <f ca="1">IFERROR(__xludf.DUMMYFUNCTION("""COMPUTED_VALUE"""),5)</f>
        <v>5</v>
      </c>
      <c r="H52" s="103" t="str">
        <f ca="1">IFERROR(__xludf.DUMMYFUNCTION("""COMPUTED_VALUE"""),"P")</f>
        <v>P</v>
      </c>
      <c r="I52" s="103" t="str">
        <f ca="1">IFERROR(__xludf.DUMMYFUNCTION("""COMPUTED_VALUE"""),"L")</f>
        <v>L</v>
      </c>
      <c r="J52" s="103" t="str">
        <f ca="1">IFERROR(__xludf.DUMMYFUNCTION("""COMPUTED_VALUE"""),"FCA")</f>
        <v>FCA</v>
      </c>
      <c r="K52" s="103" t="str">
        <f ca="1">IFERROR(__xludf.DUMMYFUNCTION("""COMPUTED_VALUE"""),"U")</f>
        <v>U</v>
      </c>
      <c r="L52" s="103"/>
      <c r="M52" s="103"/>
      <c r="N52" s="103"/>
      <c r="O52" s="103">
        <f ca="1">IFERROR(__xludf.DUMMYFUNCTION("""COMPUTED_VALUE"""),0)</f>
        <v>0</v>
      </c>
      <c r="P52" s="103">
        <f ca="1">IFERROR(__xludf.DUMMYFUNCTION("""COMPUTED_VALUE"""),0)</f>
        <v>0</v>
      </c>
      <c r="Q52" s="103">
        <f ca="1">IFERROR(__xludf.DUMMYFUNCTION("""COMPUTED_VALUE"""),1)</f>
        <v>1</v>
      </c>
      <c r="R52" s="103">
        <f ca="1">IFERROR(__xludf.DUMMYFUNCTION("""COMPUTED_VALUE"""),0)</f>
        <v>0</v>
      </c>
      <c r="S52" s="103" t="str">
        <f ca="1">IFERROR(__xludf.DUMMYFUNCTION("""COMPUTED_VALUE"""),"N")</f>
        <v>N</v>
      </c>
      <c r="T52" s="103">
        <f ca="1">IFERROR(__xludf.DUMMYFUNCTION("""COMPUTED_VALUE"""),2)</f>
        <v>2</v>
      </c>
      <c r="U52" s="103"/>
      <c r="V52" s="103"/>
      <c r="W52" s="103" t="str">
        <f ca="1">IFERROR(__xludf.DUMMYFUNCTION("""COMPUTED_VALUE"""),"L")</f>
        <v>L</v>
      </c>
      <c r="X52" s="103"/>
      <c r="Y52" s="103"/>
      <c r="Z52" s="103" t="str">
        <f ca="1">IFERROR(__xludf.DUMMYFUNCTION("""COMPUTED_VALUE"""),"L")</f>
        <v>L</v>
      </c>
      <c r="AA52" s="103" t="str">
        <f ca="1">IFERROR(__xludf.DUMMYFUNCTION("""COMPUTED_VALUE"""),"J")</f>
        <v>J</v>
      </c>
      <c r="AB52" s="103"/>
      <c r="AC52" s="103"/>
      <c r="AD52" s="103">
        <f ca="1">IFERROR(__xludf.DUMMYFUNCTION("""COMPUTED_VALUE"""),64)</f>
        <v>64</v>
      </c>
      <c r="AE52" s="103">
        <f ca="1">IFERROR(__xludf.DUMMYFUNCTION("""COMPUTED_VALUE"""),11.5)</f>
        <v>11.5</v>
      </c>
      <c r="AF52" s="103">
        <f ca="1">IFERROR(__xludf.DUMMYFUNCTION("""COMPUTED_VALUE"""),300)</f>
        <v>300</v>
      </c>
      <c r="AG52" s="103">
        <f ca="1">IFERROR(__xludf.DUMMYFUNCTION("""COMPUTED_VALUE"""),6)</f>
        <v>6</v>
      </c>
      <c r="AH52" s="103">
        <f ca="1">IFERROR(__xludf.DUMMYFUNCTION("""COMPUTED_VALUE"""),12)</f>
        <v>12</v>
      </c>
      <c r="AI52" s="103">
        <f ca="1">IFERROR(__xludf.DUMMYFUNCTION("""COMPUTED_VALUE"""),1030)</f>
        <v>1030</v>
      </c>
      <c r="AJ52" s="103" t="str">
        <f ca="1">IFERROR(__xludf.DUMMYFUNCTION("""COMPUTED_VALUE"""),"MORS")</f>
        <v>MORS</v>
      </c>
      <c r="AK52" s="103">
        <f ca="1">IFERROR(__xludf.DUMMYFUNCTION("""COMPUTED_VALUE"""),7)</f>
        <v>7</v>
      </c>
      <c r="AL52" s="103"/>
      <c r="AM52" s="103"/>
      <c r="AN52" s="103"/>
      <c r="AO52" s="57" t="str">
        <f ca="1">IFERROR(__xludf.DUMMYFUNCTION("""COMPUTED_VALUE"""),"0A")</f>
        <v>0A</v>
      </c>
      <c r="AP52" s="103">
        <f ca="1">IFERROR(__xludf.DUMMYFUNCTION("""COMPUTED_VALUE"""),1)</f>
        <v>1</v>
      </c>
    </row>
    <row r="53" spans="1:42">
      <c r="A53" s="103">
        <f ca="1">IFERROR(__xludf.DUMMYFUNCTION("""COMPUTED_VALUE"""),10)</f>
        <v>10</v>
      </c>
      <c r="B53" s="103" t="str">
        <f ca="1">IFERROR(__xludf.DUMMYFUNCTION("""COMPUTED_VALUE"""),"NDS")</f>
        <v>NDS</v>
      </c>
      <c r="C53" s="103" t="str">
        <f ca="1">IFERROR(__xludf.DUMMYFUNCTION("""COMPUTED_VALUE"""),"U")</f>
        <v>U</v>
      </c>
      <c r="D53" s="103"/>
      <c r="E53" s="103" t="str">
        <f ca="1">IFERROR(__xludf.DUMMYFUNCTION("""COMPUTED_VALUE"""),"Rufus Hummingbird")</f>
        <v>Rufus Hummingbird</v>
      </c>
      <c r="F53" s="103" t="str">
        <f ca="1">IFERROR(__xludf.DUMMYFUNCTION("""COMPUTED_VALUE"""),"RUHU")</f>
        <v>RUHU</v>
      </c>
      <c r="G53" s="103">
        <f ca="1">IFERROR(__xludf.DUMMYFUNCTION("""COMPUTED_VALUE"""),2)</f>
        <v>2</v>
      </c>
      <c r="H53" s="103" t="str">
        <f ca="1">IFERROR(__xludf.DUMMYFUNCTION("""COMPUTED_VALUE"""),"J")</f>
        <v>J</v>
      </c>
      <c r="I53" s="103" t="str">
        <f ca="1">IFERROR(__xludf.DUMMYFUNCTION("""COMPUTED_VALUE"""),"I")</f>
        <v>I</v>
      </c>
      <c r="J53" s="103" t="str">
        <f ca="1">IFERROR(__xludf.DUMMYFUNCTION("""COMPUTED_VALUE"""),"FCJ")</f>
        <v>FCJ</v>
      </c>
      <c r="K53" s="103" t="str">
        <f ca="1">IFERROR(__xludf.DUMMYFUNCTION("""COMPUTED_VALUE"""),"M")</f>
        <v>M</v>
      </c>
      <c r="L53" s="103" t="str">
        <f ca="1">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 ca="1">IFERROR(__xludf.DUMMYFUNCTION("""COMPUTED_VALUE"""),6)</f>
        <v>6</v>
      </c>
      <c r="AH53" s="103">
        <f ca="1">IFERROR(__xludf.DUMMYFUNCTION("""COMPUTED_VALUE"""),12)</f>
        <v>12</v>
      </c>
      <c r="AI53" s="103">
        <f ca="1">IFERROR(__xludf.DUMMYFUNCTION("""COMPUTED_VALUE"""),11)</f>
        <v>11</v>
      </c>
      <c r="AJ53" s="103" t="str">
        <f ca="1">IFERROR(__xludf.DUMMYFUNCTION("""COMPUTED_VALUE"""),"MORS")</f>
        <v>MORS</v>
      </c>
      <c r="AK53" s="103">
        <f ca="1">IFERROR(__xludf.DUMMYFUNCTION("""COMPUTED_VALUE"""),14)</f>
        <v>14</v>
      </c>
      <c r="AL53" s="103"/>
      <c r="AM53" s="103"/>
      <c r="AN53" s="103"/>
      <c r="AO53" s="57" t="str">
        <f ca="1">IFERROR(__xludf.DUMMYFUNCTION("""COMPUTED_VALUE"""),"U")</f>
        <v>U</v>
      </c>
      <c r="AP53" s="103">
        <f ca="1">IFERROR(__xludf.DUMMYFUNCTION("""COMPUTED_VALUE"""),1)</f>
        <v>1</v>
      </c>
    </row>
    <row r="54" spans="1:42">
      <c r="A54" s="103">
        <f ca="1">IFERROR(__xludf.DUMMYFUNCTION("""COMPUTED_VALUE"""),11)</f>
        <v>11</v>
      </c>
      <c r="B54" s="103" t="str">
        <f ca="1">IFERROR(__xludf.DUMMYFUNCTION("""COMPUTED_VALUE"""),"NDS")</f>
        <v>NDS</v>
      </c>
      <c r="C54" s="103" t="str">
        <f ca="1">IFERROR(__xludf.DUMMYFUNCTION("""COMPUTED_VALUE"""),"N")</f>
        <v>N</v>
      </c>
      <c r="D54" s="103">
        <f ca="1">IFERROR(__xludf.DUMMYFUNCTION("""COMPUTED_VALUE"""),172176237)</f>
        <v>172176237</v>
      </c>
      <c r="E54" s="103" t="str">
        <f ca="1">IFERROR(__xludf.DUMMYFUNCTION("""COMPUTED_VALUE"""),"Song Sparrow")</f>
        <v>Song Sparrow</v>
      </c>
      <c r="F54" s="103" t="str">
        <f ca="1">IFERROR(__xludf.DUMMYFUNCTION("""COMPUTED_VALUE"""),"SOSP")</f>
        <v>SOSP</v>
      </c>
      <c r="G54" s="103">
        <f ca="1">IFERROR(__xludf.DUMMYFUNCTION("""COMPUTED_VALUE"""),1)</f>
        <v>1</v>
      </c>
      <c r="H54" s="103" t="str">
        <f ca="1">IFERROR(__xludf.DUMMYFUNCTION("""COMPUTED_VALUE"""),"P")</f>
        <v>P</v>
      </c>
      <c r="I54" s="103"/>
      <c r="J54" s="103" t="str">
        <f ca="1">IFERROR(__xludf.DUMMYFUNCTION("""COMPUTED_VALUE"""),"UAJ")</f>
        <v>UAJ</v>
      </c>
      <c r="K54" s="103" t="str">
        <f ca="1">IFERROR(__xludf.DUMMYFUNCTION("""COMPUTED_VALUE"""),"M")</f>
        <v>M</v>
      </c>
      <c r="L54" s="103" t="str">
        <f ca="1">IFERROR(__xludf.DUMMYFUNCTION("""COMPUTED_VALUE"""),"C")</f>
        <v>C</v>
      </c>
      <c r="M54" s="103"/>
      <c r="N54" s="103"/>
      <c r="O54" s="103">
        <f ca="1">IFERROR(__xludf.DUMMYFUNCTION("""COMPUTED_VALUE"""),3)</f>
        <v>3</v>
      </c>
      <c r="P54" s="103">
        <f ca="1">IFERROR(__xludf.DUMMYFUNCTION("""COMPUTED_VALUE"""),0)</f>
        <v>0</v>
      </c>
      <c r="Q54" s="103">
        <f ca="1">IFERROR(__xludf.DUMMYFUNCTION("""COMPUTED_VALUE"""),3)</f>
        <v>3</v>
      </c>
      <c r="R54" s="103">
        <f ca="1">IFERROR(__xludf.DUMMYFUNCTION("""COMPUTED_VALUE"""),0)</f>
        <v>0</v>
      </c>
      <c r="S54" s="103" t="str">
        <f ca="1">IFERROR(__xludf.DUMMYFUNCTION("""COMPUTED_VALUE"""),"N")</f>
        <v>N</v>
      </c>
      <c r="T54" s="103">
        <f ca="1">IFERROR(__xludf.DUMMYFUNCTION("""COMPUTED_VALUE"""),2)</f>
        <v>2</v>
      </c>
      <c r="U54" s="103"/>
      <c r="V54" s="103" t="str">
        <f ca="1">IFERROR(__xludf.DUMMYFUNCTION("""COMPUTED_VALUE"""),"B")</f>
        <v>B</v>
      </c>
      <c r="W54" s="103" t="str">
        <f ca="1">IFERROR(__xludf.DUMMYFUNCTION("""COMPUTED_VALUE"""),"B")</f>
        <v>B</v>
      </c>
      <c r="X54" s="103"/>
      <c r="Y54" s="103" t="str">
        <f ca="1">IFERROR(__xludf.DUMMYFUNCTION("""COMPUTED_VALUE"""),"B")</f>
        <v>B</v>
      </c>
      <c r="Z54" s="103"/>
      <c r="AA54" s="103" t="str">
        <f ca="1">IFERROR(__xludf.DUMMYFUNCTION("""COMPUTED_VALUE"""),"B")</f>
        <v>B</v>
      </c>
      <c r="AB54" s="103"/>
      <c r="AC54" s="103"/>
      <c r="AD54" s="103">
        <f ca="1">IFERROR(__xludf.DUMMYFUNCTION("""COMPUTED_VALUE"""),65)</f>
        <v>65</v>
      </c>
      <c r="AE54" s="103">
        <f ca="1">IFERROR(__xludf.DUMMYFUNCTION("""COMPUTED_VALUE"""),24.7)</f>
        <v>24.7</v>
      </c>
      <c r="AF54" s="103">
        <f ca="1">IFERROR(__xludf.DUMMYFUNCTION("""COMPUTED_VALUE"""),300)</f>
        <v>300</v>
      </c>
      <c r="AG54" s="103">
        <f ca="1">IFERROR(__xludf.DUMMYFUNCTION("""COMPUTED_VALUE"""),6)</f>
        <v>6</v>
      </c>
      <c r="AH54" s="103">
        <f ca="1">IFERROR(__xludf.DUMMYFUNCTION("""COMPUTED_VALUE"""),12)</f>
        <v>12</v>
      </c>
      <c r="AI54" s="103">
        <f ca="1">IFERROR(__xludf.DUMMYFUNCTION("""COMPUTED_VALUE"""),1140)</f>
        <v>1140</v>
      </c>
      <c r="AJ54" s="103" t="str">
        <f ca="1">IFERROR(__xludf.DUMMYFUNCTION("""COMPUTED_VALUE"""),"MORS")</f>
        <v>MORS</v>
      </c>
      <c r="AK54" s="103">
        <f ca="1">IFERROR(__xludf.DUMMYFUNCTION("""COMPUTED_VALUE"""),6)</f>
        <v>6</v>
      </c>
      <c r="AL54" s="103"/>
      <c r="AM54" s="103">
        <f ca="1">IFERROR(__xludf.DUMMYFUNCTION("""COMPUTED_VALUE"""),3)</f>
        <v>3</v>
      </c>
      <c r="AN54" s="103" t="str">
        <f ca="1">IFERROR(__xludf.DUMMYFUNCTION("""COMPUTED_VALUE"""),"Primary dark/light bands not aligned. Rect dark/light bands not aligned. Remiges dark and lustery")</f>
        <v>Primary dark/light bands not aligned. Rect dark/light bands not aligned. Remiges dark and lustery</v>
      </c>
      <c r="AO54" s="57" t="str">
        <f ca="1">IFERROR(__xludf.DUMMYFUNCTION("""COMPUTED_VALUE"""),"1B")</f>
        <v>1B</v>
      </c>
      <c r="AP54" s="103">
        <f ca="1">IFERROR(__xludf.DUMMYFUNCTION("""COMPUTED_VALUE"""),1)</f>
        <v>1</v>
      </c>
    </row>
    <row r="55" spans="1:42">
      <c r="A55" s="103">
        <f ca="1">IFERROR(__xludf.DUMMYFUNCTION("""COMPUTED_VALUE"""),12)</f>
        <v>12</v>
      </c>
      <c r="B55" s="103" t="str">
        <f ca="1">IFERROR(__xludf.DUMMYFUNCTION("""COMPUTED_VALUE"""),"NDS")</f>
        <v>NDS</v>
      </c>
      <c r="C55" s="103" t="str">
        <f ca="1">IFERROR(__xludf.DUMMYFUNCTION("""COMPUTED_VALUE"""),"N")</f>
        <v>N</v>
      </c>
      <c r="D55" s="103">
        <f ca="1">IFERROR(__xludf.DUMMYFUNCTION("""COMPUTED_VALUE"""),288029942)</f>
        <v>288029942</v>
      </c>
      <c r="E55" s="103" t="str">
        <f ca="1">IFERROR(__xludf.DUMMYFUNCTION("""COMPUTED_VALUE"""),"Black-capped Chickadee")</f>
        <v>Black-capped Chickadee</v>
      </c>
      <c r="F55" s="103" t="str">
        <f ca="1">IFERROR(__xludf.DUMMYFUNCTION("""COMPUTED_VALUE"""),"BCCH")</f>
        <v>BCCH</v>
      </c>
      <c r="G55" s="103">
        <f ca="1">IFERROR(__xludf.DUMMYFUNCTION("""COMPUTED_VALUE"""),5)</f>
        <v>5</v>
      </c>
      <c r="H55" s="103" t="str">
        <f ca="1">IFERROR(__xludf.DUMMYFUNCTION("""COMPUTED_VALUE"""),"S")</f>
        <v>S</v>
      </c>
      <c r="I55" s="103" t="str">
        <f ca="1">IFERROR(__xludf.DUMMYFUNCTION("""COMPUTED_VALUE"""),"P")</f>
        <v>P</v>
      </c>
      <c r="J55" s="103" t="str">
        <f ca="1">IFERROR(__xludf.DUMMYFUNCTION("""COMPUTED_VALUE"""),"UAJ")</f>
        <v>UAJ</v>
      </c>
      <c r="K55" s="103" t="str">
        <f ca="1">IFERROR(__xludf.DUMMYFUNCTION("""COMPUTED_VALUE"""),"F")</f>
        <v>F</v>
      </c>
      <c r="L55" s="103" t="str">
        <f ca="1">IFERROR(__xludf.DUMMYFUNCTION("""COMPUTED_VALUE"""),"B")</f>
        <v>B</v>
      </c>
      <c r="M55" s="103"/>
      <c r="N55" s="103"/>
      <c r="O55" s="103">
        <f ca="1">IFERROR(__xludf.DUMMYFUNCTION("""COMPUTED_VALUE"""),0)</f>
        <v>0</v>
      </c>
      <c r="P55" s="103">
        <f ca="1">IFERROR(__xludf.DUMMYFUNCTION("""COMPUTED_VALUE"""),4)</f>
        <v>4</v>
      </c>
      <c r="Q55" s="103">
        <f ca="1">IFERROR(__xludf.DUMMYFUNCTION("""COMPUTED_VALUE"""),2)</f>
        <v>2</v>
      </c>
      <c r="R55" s="103">
        <f ca="1">IFERROR(__xludf.DUMMYFUNCTION("""COMPUTED_VALUE"""),0)</f>
        <v>0</v>
      </c>
      <c r="S55" s="103" t="str">
        <f ca="1">IFERROR(__xludf.DUMMYFUNCTION("""COMPUTED_VALUE"""),"N")</f>
        <v>N</v>
      </c>
      <c r="T55" s="103">
        <f ca="1">IFERROR(__xludf.DUMMYFUNCTION("""COMPUTED_VALUE"""),2)</f>
        <v>2</v>
      </c>
      <c r="U55" s="103"/>
      <c r="V55" s="103" t="str">
        <f ca="1">IFERROR(__xludf.DUMMYFUNCTION("""COMPUTED_VALUE"""),"J")</f>
        <v>J</v>
      </c>
      <c r="W55" s="103" t="str">
        <f ca="1">IFERROR(__xludf.DUMMYFUNCTION("""COMPUTED_VALUE"""),"L")</f>
        <v>L</v>
      </c>
      <c r="X55" s="103"/>
      <c r="Y55" s="103"/>
      <c r="Z55" s="103"/>
      <c r="AA55" s="103" t="str">
        <f ca="1">IFERROR(__xludf.DUMMYFUNCTION("""COMPUTED_VALUE"""),"J")</f>
        <v>J</v>
      </c>
      <c r="AB55" s="103"/>
      <c r="AC55" s="103"/>
      <c r="AD55" s="103">
        <f ca="1">IFERROR(__xludf.DUMMYFUNCTION("""COMPUTED_VALUE"""),58)</f>
        <v>58</v>
      </c>
      <c r="AE55" s="103">
        <f ca="1">IFERROR(__xludf.DUMMYFUNCTION("""COMPUTED_VALUE"""),10.3)</f>
        <v>10.3</v>
      </c>
      <c r="AF55" s="103">
        <f ca="1">IFERROR(__xludf.DUMMYFUNCTION("""COMPUTED_VALUE"""),300)</f>
        <v>300</v>
      </c>
      <c r="AG55" s="103">
        <f ca="1">IFERROR(__xludf.DUMMYFUNCTION("""COMPUTED_VALUE"""),6)</f>
        <v>6</v>
      </c>
      <c r="AH55" s="103">
        <f ca="1">IFERROR(__xludf.DUMMYFUNCTION("""COMPUTED_VALUE"""),12)</f>
        <v>12</v>
      </c>
      <c r="AI55" s="103">
        <f ca="1">IFERROR(__xludf.DUMMYFUNCTION("""COMPUTED_VALUE"""),1140)</f>
        <v>1140</v>
      </c>
      <c r="AJ55" s="103" t="str">
        <f ca="1">IFERROR(__xludf.DUMMYFUNCTION("""COMPUTED_VALUE"""),"MORS")</f>
        <v>MORS</v>
      </c>
      <c r="AK55" s="103">
        <f ca="1">IFERROR(__xludf.DUMMYFUNCTION("""COMPUTED_VALUE"""),10)</f>
        <v>10</v>
      </c>
      <c r="AL55" s="103"/>
      <c r="AM55" s="103"/>
      <c r="AN55" s="103"/>
      <c r="AO55" s="57">
        <f ca="1">IFERROR(__xludf.DUMMYFUNCTION("""COMPUTED_VALUE"""),0)</f>
        <v>0</v>
      </c>
      <c r="AP55" s="103">
        <f ca="1">IFERROR(__xludf.DUMMYFUNCTION("""COMPUTED_VALUE"""),1)</f>
        <v>1</v>
      </c>
    </row>
    <row r="56" spans="1:42">
      <c r="A56" s="103">
        <f ca="1">IFERROR(__xludf.DUMMYFUNCTION("""COMPUTED_VALUE"""),1)</f>
        <v>1</v>
      </c>
      <c r="B56" s="103" t="str">
        <f ca="1">IFERROR(__xludf.DUMMYFUNCTION("""COMPUTED_VALUE"""),"JSM")</f>
        <v>JSM</v>
      </c>
      <c r="C56" s="103" t="str">
        <f ca="1">IFERROR(__xludf.DUMMYFUNCTION("""COMPUTED_VALUE"""),"R")</f>
        <v>R</v>
      </c>
      <c r="D56" s="103">
        <f ca="1">IFERROR(__xludf.DUMMYFUNCTION("""COMPUTED_VALUE"""),135291818)</f>
        <v>135291818</v>
      </c>
      <c r="E56" s="103" t="str">
        <f ca="1">IFERROR(__xludf.DUMMYFUNCTION("""COMPUTED_VALUE"""),"American Robin")</f>
        <v>American Robin</v>
      </c>
      <c r="F56" s="103" t="str">
        <f ca="1">IFERROR(__xludf.DUMMYFUNCTION("""COMPUTED_VALUE"""),"AMRO")</f>
        <v>AMRO</v>
      </c>
      <c r="G56" s="103">
        <f ca="1">IFERROR(__xludf.DUMMYFUNCTION("""COMPUTED_VALUE"""),6)</f>
        <v>6</v>
      </c>
      <c r="H56" s="103" t="str">
        <f ca="1">IFERROR(__xludf.DUMMYFUNCTION("""COMPUTED_VALUE"""),"P")</f>
        <v>P</v>
      </c>
      <c r="I56" s="103"/>
      <c r="J56" s="103" t="str">
        <f ca="1">IFERROR(__xludf.DUMMYFUNCTION("""COMPUTED_VALUE"""),"DCB")</f>
        <v>DCB</v>
      </c>
      <c r="K56" s="103" t="str">
        <f ca="1">IFERROR(__xludf.DUMMYFUNCTION("""COMPUTED_VALUE"""),"M")</f>
        <v>M</v>
      </c>
      <c r="L56" s="103" t="str">
        <f ca="1">IFERROR(__xludf.DUMMYFUNCTION("""COMPUTED_VALUE"""),"C")</f>
        <v>C</v>
      </c>
      <c r="M56" s="103"/>
      <c r="N56" s="103"/>
      <c r="O56" s="103">
        <f ca="1">IFERROR(__xludf.DUMMYFUNCTION("""COMPUTED_VALUE"""),3)</f>
        <v>3</v>
      </c>
      <c r="P56" s="103">
        <f ca="1">IFERROR(__xludf.DUMMYFUNCTION("""COMPUTED_VALUE"""),0)</f>
        <v>0</v>
      </c>
      <c r="Q56" s="103">
        <f ca="1">IFERROR(__xludf.DUMMYFUNCTION("""COMPUTED_VALUE"""),1)</f>
        <v>1</v>
      </c>
      <c r="R56" s="103">
        <f ca="1">IFERROR(__xludf.DUMMYFUNCTION("""COMPUTED_VALUE"""),0)</f>
        <v>0</v>
      </c>
      <c r="S56" s="103" t="str">
        <f ca="1">IFERROR(__xludf.DUMMYFUNCTION("""COMPUTED_VALUE"""),"N")</f>
        <v>N</v>
      </c>
      <c r="T56" s="103">
        <f ca="1">IFERROR(__xludf.DUMMYFUNCTION("""COMPUTED_VALUE"""),3)</f>
        <v>3</v>
      </c>
      <c r="U56" s="103"/>
      <c r="V56" s="103" t="str">
        <f ca="1">IFERROR(__xludf.DUMMYFUNCTION("""COMPUTED_VALUE"""),"B")</f>
        <v>B</v>
      </c>
      <c r="W56" s="103" t="str">
        <f ca="1">IFERROR(__xludf.DUMMYFUNCTION("""COMPUTED_VALUE"""),"B")</f>
        <v>B</v>
      </c>
      <c r="X56" s="103"/>
      <c r="Y56" s="103"/>
      <c r="Z56" s="103"/>
      <c r="AA56" s="103" t="str">
        <f ca="1">IFERROR(__xludf.DUMMYFUNCTION("""COMPUTED_VALUE"""),"U")</f>
        <v>U</v>
      </c>
      <c r="AB56" s="103"/>
      <c r="AC56" s="103"/>
      <c r="AD56" s="103">
        <f ca="1">IFERROR(__xludf.DUMMYFUNCTION("""COMPUTED_VALUE"""),135)</f>
        <v>135</v>
      </c>
      <c r="AE56" s="103"/>
      <c r="AF56" s="103">
        <f ca="1">IFERROR(__xludf.DUMMYFUNCTION("""COMPUTED_VALUE"""),300)</f>
        <v>300</v>
      </c>
      <c r="AG56" s="103">
        <f ca="1">IFERROR(__xludf.DUMMYFUNCTION("""COMPUTED_VALUE"""),6)</f>
        <v>6</v>
      </c>
      <c r="AH56" s="103">
        <f ca="1">IFERROR(__xludf.DUMMYFUNCTION("""COMPUTED_VALUE"""),12)</f>
        <v>12</v>
      </c>
      <c r="AI56" s="103">
        <f ca="1">IFERROR(__xludf.DUMMYFUNCTION("""COMPUTED_VALUE"""),630)</f>
        <v>630</v>
      </c>
      <c r="AJ56" s="103" t="str">
        <f ca="1">IFERROR(__xludf.DUMMYFUNCTION("""COMPUTED_VALUE"""),"MORS")</f>
        <v>MORS</v>
      </c>
      <c r="AK56" s="103">
        <f ca="1">IFERROR(__xludf.DUMMYFUNCTION("""COMPUTED_VALUE"""),20)</f>
        <v>20</v>
      </c>
      <c r="AL56" s="103"/>
      <c r="AM56" s="103"/>
      <c r="AN56" s="103"/>
      <c r="AO56" s="57" t="str">
        <f ca="1">IFERROR(__xludf.DUMMYFUNCTION("""COMPUTED_VALUE"""),"R")</f>
        <v>R</v>
      </c>
      <c r="AP56" s="103">
        <f ca="1">IFERROR(__xludf.DUMMYFUNCTION("""COMPUTED_VALUE"""),2)</f>
        <v>2</v>
      </c>
    </row>
    <row r="57" spans="1:42">
      <c r="A57" s="103">
        <f ca="1">IFERROR(__xludf.DUMMYFUNCTION("""COMPUTED_VALUE"""),2)</f>
        <v>2</v>
      </c>
      <c r="B57" s="103" t="str">
        <f ca="1">IFERROR(__xludf.DUMMYFUNCTION("""COMPUTED_VALUE"""),"JSM")</f>
        <v>JSM</v>
      </c>
      <c r="C57" s="103" t="str">
        <f ca="1">IFERROR(__xludf.DUMMYFUNCTION("""COMPUTED_VALUE"""),"R")</f>
        <v>R</v>
      </c>
      <c r="D57" s="103">
        <f ca="1">IFERROR(__xludf.DUMMYFUNCTION("""COMPUTED_VALUE"""),135291845)</f>
        <v>135291845</v>
      </c>
      <c r="E57" s="103" t="str">
        <f ca="1">IFERROR(__xludf.DUMMYFUNCTION("""COMPUTED_VALUE"""),"American Robin")</f>
        <v>American Robin</v>
      </c>
      <c r="F57" s="103" t="str">
        <f ca="1">IFERROR(__xludf.DUMMYFUNCTION("""COMPUTED_VALUE"""),"AMRO")</f>
        <v>AMRO</v>
      </c>
      <c r="G57" s="103">
        <f ca="1">IFERROR(__xludf.DUMMYFUNCTION("""COMPUTED_VALUE"""),6)</f>
        <v>6</v>
      </c>
      <c r="H57" s="103" t="str">
        <f ca="1">IFERROR(__xludf.DUMMYFUNCTION("""COMPUTED_VALUE"""),"P")</f>
        <v>P</v>
      </c>
      <c r="I57" s="103"/>
      <c r="J57" s="103" t="str">
        <f ca="1">IFERROR(__xludf.DUMMYFUNCTION("""COMPUTED_VALUE"""),"DCB")</f>
        <v>DCB</v>
      </c>
      <c r="K57" s="103" t="str">
        <f ca="1">IFERROR(__xludf.DUMMYFUNCTION("""COMPUTED_VALUE"""),"F")</f>
        <v>F</v>
      </c>
      <c r="L57" s="103" t="str">
        <f ca="1">IFERROR(__xludf.DUMMYFUNCTION("""COMPUTED_VALUE"""),"B")</f>
        <v>B</v>
      </c>
      <c r="M57" s="103"/>
      <c r="N57" s="103"/>
      <c r="O57" s="103">
        <f ca="1">IFERROR(__xludf.DUMMYFUNCTION("""COMPUTED_VALUE"""),0)</f>
        <v>0</v>
      </c>
      <c r="P57" s="103">
        <f ca="1">IFERROR(__xludf.DUMMYFUNCTION("""COMPUTED_VALUE"""),3)</f>
        <v>3</v>
      </c>
      <c r="Q57" s="103">
        <f ca="1">IFERROR(__xludf.DUMMYFUNCTION("""COMPUTED_VALUE"""),1)</f>
        <v>1</v>
      </c>
      <c r="R57" s="103">
        <f ca="1">IFERROR(__xludf.DUMMYFUNCTION("""COMPUTED_VALUE"""),0)</f>
        <v>0</v>
      </c>
      <c r="S57" s="103" t="str">
        <f ca="1">IFERROR(__xludf.DUMMYFUNCTION("""COMPUTED_VALUE"""),"N")</f>
        <v>N</v>
      </c>
      <c r="T57" s="103">
        <f ca="1">IFERROR(__xludf.DUMMYFUNCTION("""COMPUTED_VALUE"""),1)</f>
        <v>1</v>
      </c>
      <c r="U57" s="103"/>
      <c r="V57" s="103" t="str">
        <f ca="1">IFERROR(__xludf.DUMMYFUNCTION("""COMPUTED_VALUE"""),"B")</f>
        <v>B</v>
      </c>
      <c r="W57" s="103" t="str">
        <f ca="1">IFERROR(__xludf.DUMMYFUNCTION("""COMPUTED_VALUE"""),"B")</f>
        <v>B</v>
      </c>
      <c r="X57" s="103"/>
      <c r="Y57" s="103"/>
      <c r="Z57" s="103"/>
      <c r="AA57" s="103" t="str">
        <f ca="1">IFERROR(__xludf.DUMMYFUNCTION("""COMPUTED_VALUE"""),"B")</f>
        <v>B</v>
      </c>
      <c r="AB57" s="103"/>
      <c r="AC57" s="103"/>
      <c r="AD57" s="103">
        <f ca="1">IFERROR(__xludf.DUMMYFUNCTION("""COMPUTED_VALUE"""),130)</f>
        <v>130</v>
      </c>
      <c r="AE57" s="103"/>
      <c r="AF57" s="103">
        <f ca="1">IFERROR(__xludf.DUMMYFUNCTION("""COMPUTED_VALUE"""),300)</f>
        <v>300</v>
      </c>
      <c r="AG57" s="103">
        <f ca="1">IFERROR(__xludf.DUMMYFUNCTION("""COMPUTED_VALUE"""),6)</f>
        <v>6</v>
      </c>
      <c r="AH57" s="103">
        <f ca="1">IFERROR(__xludf.DUMMYFUNCTION("""COMPUTED_VALUE"""),12)</f>
        <v>12</v>
      </c>
      <c r="AI57" s="103">
        <f ca="1">IFERROR(__xludf.DUMMYFUNCTION("""COMPUTED_VALUE"""),710)</f>
        <v>710</v>
      </c>
      <c r="AJ57" s="103" t="str">
        <f ca="1">IFERROR(__xludf.DUMMYFUNCTION("""COMPUTED_VALUE"""),"MORS")</f>
        <v>MORS</v>
      </c>
      <c r="AK57" s="103">
        <f ca="1">IFERROR(__xludf.DUMMYFUNCTION("""COMPUTED_VALUE"""),9)</f>
        <v>9</v>
      </c>
      <c r="AL57" s="103"/>
      <c r="AM57" s="103"/>
      <c r="AN57" s="103"/>
      <c r="AO57" s="57" t="str">
        <f ca="1">IFERROR(__xludf.DUMMYFUNCTION("""COMPUTED_VALUE"""),"R")</f>
        <v>R</v>
      </c>
      <c r="AP57" s="103">
        <f ca="1">IFERROR(__xludf.DUMMYFUNCTION("""COMPUTED_VALUE"""),2)</f>
        <v>2</v>
      </c>
    </row>
    <row r="58" spans="1:42">
      <c r="A58" s="103">
        <f ca="1">IFERROR(__xludf.DUMMYFUNCTION("""COMPUTED_VALUE"""),3)</f>
        <v>3</v>
      </c>
      <c r="B58" s="103" t="str">
        <f ca="1">IFERROR(__xludf.DUMMYFUNCTION("""COMPUTED_VALUE"""),"JSM")</f>
        <v>JSM</v>
      </c>
      <c r="C58" s="103" t="str">
        <f ca="1">IFERROR(__xludf.DUMMYFUNCTION("""COMPUTED_VALUE"""),"R")</f>
        <v>R</v>
      </c>
      <c r="D58" s="103">
        <f ca="1">IFERROR(__xludf.DUMMYFUNCTION("""COMPUTED_VALUE"""),284053841)</f>
        <v>284053841</v>
      </c>
      <c r="E58" s="103" t="str">
        <f ca="1">IFERROR(__xludf.DUMMYFUNCTION("""COMPUTED_VALUE"""),"Hutton's Vireo")</f>
        <v>Hutton's Vireo</v>
      </c>
      <c r="F58" s="103" t="str">
        <f ca="1">IFERROR(__xludf.DUMMYFUNCTION("""COMPUTED_VALUE"""),"HUVI")</f>
        <v>HUVI</v>
      </c>
      <c r="G58" s="103">
        <f ca="1">IFERROR(__xludf.DUMMYFUNCTION("""COMPUTED_VALUE"""),5)</f>
        <v>5</v>
      </c>
      <c r="H58" s="103" t="str">
        <f ca="1">IFERROR(__xludf.DUMMYFUNCTION("""COMPUTED_VALUE"""),"L")</f>
        <v>L</v>
      </c>
      <c r="I58" s="103"/>
      <c r="J58" s="103" t="str">
        <f ca="1">IFERROR(__xludf.DUMMYFUNCTION("""COMPUTED_VALUE"""),"FCF")</f>
        <v>FCF</v>
      </c>
      <c r="K58" s="103" t="str">
        <f ca="1">IFERROR(__xludf.DUMMYFUNCTION("""COMPUTED_VALUE"""),"U")</f>
        <v>U</v>
      </c>
      <c r="L58" s="103"/>
      <c r="M58" s="103"/>
      <c r="N58" s="103"/>
      <c r="O58" s="103">
        <f ca="1">IFERROR(__xludf.DUMMYFUNCTION("""COMPUTED_VALUE"""),0)</f>
        <v>0</v>
      </c>
      <c r="P58" s="103">
        <f ca="1">IFERROR(__xludf.DUMMYFUNCTION("""COMPUTED_VALUE"""),2)</f>
        <v>2</v>
      </c>
      <c r="Q58" s="103">
        <f ca="1">IFERROR(__xludf.DUMMYFUNCTION("""COMPUTED_VALUE"""),0)</f>
        <v>0</v>
      </c>
      <c r="R58" s="103">
        <f ca="1">IFERROR(__xludf.DUMMYFUNCTION("""COMPUTED_VALUE"""),0)</f>
        <v>0</v>
      </c>
      <c r="S58" s="103" t="str">
        <f ca="1">IFERROR(__xludf.DUMMYFUNCTION("""COMPUTED_VALUE"""),"N")</f>
        <v>N</v>
      </c>
      <c r="T58" s="103">
        <f ca="1">IFERROR(__xludf.DUMMYFUNCTION("""COMPUTED_VALUE"""),1)</f>
        <v>1</v>
      </c>
      <c r="U58" s="103"/>
      <c r="V58" s="103" t="str">
        <f ca="1">IFERROR(__xludf.DUMMYFUNCTION("""COMPUTED_VALUE"""),"F")</f>
        <v>F</v>
      </c>
      <c r="W58" s="103" t="str">
        <f ca="1">IFERROR(__xludf.DUMMYFUNCTION("""COMPUTED_VALUE"""),"L")</f>
        <v>L</v>
      </c>
      <c r="X58" s="103"/>
      <c r="Y58" s="103"/>
      <c r="Z58" s="103"/>
      <c r="AA58" s="103"/>
      <c r="AB58" s="103"/>
      <c r="AC58" s="103"/>
      <c r="AD58" s="103"/>
      <c r="AE58" s="103">
        <f ca="1">IFERROR(__xludf.DUMMYFUNCTION("""COMPUTED_VALUE"""),11.4)</f>
        <v>11.4</v>
      </c>
      <c r="AF58" s="103">
        <f ca="1">IFERROR(__xludf.DUMMYFUNCTION("""COMPUTED_VALUE"""),300)</f>
        <v>300</v>
      </c>
      <c r="AG58" s="103">
        <f ca="1">IFERROR(__xludf.DUMMYFUNCTION("""COMPUTED_VALUE"""),6)</f>
        <v>6</v>
      </c>
      <c r="AH58" s="103">
        <f ca="1">IFERROR(__xludf.DUMMYFUNCTION("""COMPUTED_VALUE"""),12)</f>
        <v>12</v>
      </c>
      <c r="AI58" s="103">
        <f ca="1">IFERROR(__xludf.DUMMYFUNCTION("""COMPUTED_VALUE"""),740)</f>
        <v>740</v>
      </c>
      <c r="AJ58" s="103" t="str">
        <f ca="1">IFERROR(__xludf.DUMMYFUNCTION("""COMPUTED_VALUE"""),"MORS")</f>
        <v>MORS</v>
      </c>
      <c r="AK58" s="103">
        <f ca="1">IFERROR(__xludf.DUMMYFUNCTION("""COMPUTED_VALUE"""),10)</f>
        <v>10</v>
      </c>
      <c r="AL58" s="103"/>
      <c r="AM58" s="103">
        <f ca="1">IFERROR(__xludf.DUMMYFUNCTION("""COMPUTED_VALUE"""),1)</f>
        <v>1</v>
      </c>
      <c r="AN58" s="103" t="str">
        <f ca="1">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 ca="1">IFERROR(__xludf.DUMMYFUNCTION("""COMPUTED_VALUE"""),"R")</f>
        <v>R</v>
      </c>
      <c r="AP58" s="103">
        <f ca="1">IFERROR(__xludf.DUMMYFUNCTION("""COMPUTED_VALUE"""),2)</f>
        <v>2</v>
      </c>
    </row>
    <row r="59" spans="1:42">
      <c r="A59" s="103">
        <f ca="1">IFERROR(__xludf.DUMMYFUNCTION("""COMPUTED_VALUE"""),4)</f>
        <v>4</v>
      </c>
      <c r="B59" s="103" t="str">
        <f ca="1">IFERROR(__xludf.DUMMYFUNCTION("""COMPUTED_VALUE"""),"JSM")</f>
        <v>JSM</v>
      </c>
      <c r="C59" s="103" t="str">
        <f ca="1">IFERROR(__xludf.DUMMYFUNCTION("""COMPUTED_VALUE"""),"U")</f>
        <v>U</v>
      </c>
      <c r="D59" s="103"/>
      <c r="E59" s="103" t="str">
        <f ca="1">IFERROR(__xludf.DUMMYFUNCTION("""COMPUTED_VALUE"""),"Rufus Hummingbird")</f>
        <v>Rufus Hummingbird</v>
      </c>
      <c r="F59" s="103" t="str">
        <f ca="1">IFERROR(__xludf.DUMMYFUNCTION("""COMPUTED_VALUE"""),"RUHU")</f>
        <v>RUHU</v>
      </c>
      <c r="G59" s="103">
        <f ca="1">IFERROR(__xludf.DUMMYFUNCTION("""COMPUTED_VALUE"""),2)</f>
        <v>2</v>
      </c>
      <c r="H59" s="103" t="str">
        <f ca="1">IFERROR(__xludf.DUMMYFUNCTION("""COMPUTED_VALUE"""),"I")</f>
        <v>I</v>
      </c>
      <c r="I59" s="103" t="str">
        <f ca="1">IFERROR(__xludf.DUMMYFUNCTION("""COMPUTED_VALUE"""),"P")</f>
        <v>P</v>
      </c>
      <c r="J59" s="103" t="str">
        <f ca="1">IFERROR(__xludf.DUMMYFUNCTION("""COMPUTED_VALUE"""),"FCJ")</f>
        <v>FCJ</v>
      </c>
      <c r="K59" s="103" t="str">
        <f ca="1">IFERROR(__xludf.DUMMYFUNCTION("""COMPUTED_VALUE"""),"F")</f>
        <v>F</v>
      </c>
      <c r="L59" s="103" t="str">
        <f ca="1">IFERROR(__xludf.DUMMYFUNCTION("""COMPUTED_VALUE"""),"P")</f>
        <v>P</v>
      </c>
      <c r="M59" s="103"/>
      <c r="N59" s="103"/>
      <c r="O59" s="103"/>
      <c r="P59" s="103"/>
      <c r="Q59" s="103"/>
      <c r="R59" s="103"/>
      <c r="S59" s="103"/>
      <c r="T59" s="103"/>
      <c r="U59" s="103"/>
      <c r="V59" s="103"/>
      <c r="W59" s="103"/>
      <c r="X59" s="103"/>
      <c r="Y59" s="103"/>
      <c r="Z59" s="103"/>
      <c r="AA59" s="103"/>
      <c r="AB59" s="103" t="str">
        <f ca="1">IFERROR(__xludf.DUMMYFUNCTION("""COMPUTED_VALUE"""),"J")</f>
        <v>J</v>
      </c>
      <c r="AC59" s="103"/>
      <c r="AD59" s="103"/>
      <c r="AE59" s="103"/>
      <c r="AF59" s="103"/>
      <c r="AG59" s="103">
        <f ca="1">IFERROR(__xludf.DUMMYFUNCTION("""COMPUTED_VALUE"""),6)</f>
        <v>6</v>
      </c>
      <c r="AH59" s="103">
        <f ca="1">IFERROR(__xludf.DUMMYFUNCTION("""COMPUTED_VALUE"""),12)</f>
        <v>12</v>
      </c>
      <c r="AI59" s="103">
        <f ca="1">IFERROR(__xludf.DUMMYFUNCTION("""COMPUTED_VALUE"""),830)</f>
        <v>830</v>
      </c>
      <c r="AJ59" s="103" t="str">
        <f ca="1">IFERROR(__xludf.DUMMYFUNCTION("""COMPUTED_VALUE"""),"MORS")</f>
        <v>MORS</v>
      </c>
      <c r="AK59" s="103">
        <f ca="1">IFERROR(__xludf.DUMMYFUNCTION("""COMPUTED_VALUE"""),6)</f>
        <v>6</v>
      </c>
      <c r="AL59" s="103"/>
      <c r="AM59" s="103"/>
      <c r="AN59" s="103"/>
      <c r="AO59" s="57" t="str">
        <f ca="1">IFERROR(__xludf.DUMMYFUNCTION("""COMPUTED_VALUE"""),"U")</f>
        <v>U</v>
      </c>
      <c r="AP59" s="103">
        <f ca="1">IFERROR(__xludf.DUMMYFUNCTION("""COMPUTED_VALUE"""),2)</f>
        <v>2</v>
      </c>
    </row>
    <row r="60" spans="1:42">
      <c r="A60" s="103">
        <f ca="1">IFERROR(__xludf.DUMMYFUNCTION("""COMPUTED_VALUE"""),5)</f>
        <v>5</v>
      </c>
      <c r="B60" s="103" t="str">
        <f ca="1">IFERROR(__xludf.DUMMYFUNCTION("""COMPUTED_VALUE"""),"JSM")</f>
        <v>JSM</v>
      </c>
      <c r="C60" s="103" t="str">
        <f ca="1">IFERROR(__xludf.DUMMYFUNCTION("""COMPUTED_VALUE"""),"N")</f>
        <v>N</v>
      </c>
      <c r="D60" s="103">
        <f ca="1">IFERROR(__xludf.DUMMYFUNCTION("""COMPUTED_VALUE"""),288029939)</f>
        <v>288029939</v>
      </c>
      <c r="E60" s="103" t="str">
        <f ca="1">IFERROR(__xludf.DUMMYFUNCTION("""COMPUTED_VALUE"""),"Chestnut-backed Chickadee")</f>
        <v>Chestnut-backed Chickadee</v>
      </c>
      <c r="F60" s="103" t="str">
        <f ca="1">IFERROR(__xludf.DUMMYFUNCTION("""COMPUTED_VALUE"""),"CBCH")</f>
        <v>CBCH</v>
      </c>
      <c r="G60" s="103">
        <f ca="1">IFERROR(__xludf.DUMMYFUNCTION("""COMPUTED_VALUE"""),2)</f>
        <v>2</v>
      </c>
      <c r="H60" s="103" t="str">
        <f ca="1">IFERROR(__xludf.DUMMYFUNCTION("""COMPUTED_VALUE"""),"J")</f>
        <v>J</v>
      </c>
      <c r="I60" s="103"/>
      <c r="J60" s="103" t="str">
        <f ca="1">IFERROR(__xludf.DUMMYFUNCTION("""COMPUTED_VALUE"""),"FCJ")</f>
        <v>FCJ</v>
      </c>
      <c r="K60" s="103" t="str">
        <f ca="1">IFERROR(__xludf.DUMMYFUNCTION("""COMPUTED_VALUE"""),"U")</f>
        <v>U</v>
      </c>
      <c r="L60" s="103"/>
      <c r="M60" s="103"/>
      <c r="N60" s="103"/>
      <c r="O60" s="103">
        <f ca="1">IFERROR(__xludf.DUMMYFUNCTION("""COMPUTED_VALUE"""),0)</f>
        <v>0</v>
      </c>
      <c r="P60" s="103">
        <f ca="1">IFERROR(__xludf.DUMMYFUNCTION("""COMPUTED_VALUE"""),3)</f>
        <v>3</v>
      </c>
      <c r="Q60" s="103">
        <f ca="1">IFERROR(__xludf.DUMMYFUNCTION("""COMPUTED_VALUE"""),0)</f>
        <v>0</v>
      </c>
      <c r="R60" s="103">
        <f ca="1">IFERROR(__xludf.DUMMYFUNCTION("""COMPUTED_VALUE"""),0)</f>
        <v>0</v>
      </c>
      <c r="S60" s="103" t="str">
        <f ca="1">IFERROR(__xludf.DUMMYFUNCTION("""COMPUTED_VALUE"""),"N")</f>
        <v>N</v>
      </c>
      <c r="T60" s="103">
        <f ca="1">IFERROR(__xludf.DUMMYFUNCTION("""COMPUTED_VALUE"""),1)</f>
        <v>1</v>
      </c>
      <c r="U60" s="103">
        <f ca="1">IFERROR(__xludf.DUMMYFUNCTION("""COMPUTED_VALUE"""),3)</f>
        <v>3</v>
      </c>
      <c r="V60" s="103" t="str">
        <f ca="1">IFERROR(__xludf.DUMMYFUNCTION("""COMPUTED_VALUE"""),"J")</f>
        <v>J</v>
      </c>
      <c r="W60" s="103"/>
      <c r="X60" s="103"/>
      <c r="Y60" s="103"/>
      <c r="Z60" s="103"/>
      <c r="AA60" s="103" t="str">
        <f ca="1">IFERROR(__xludf.DUMMYFUNCTION("""COMPUTED_VALUE"""),"J")</f>
        <v>J</v>
      </c>
      <c r="AB60" s="103" t="str">
        <f ca="1">IFERROR(__xludf.DUMMYFUNCTION("""COMPUTED_VALUE"""),"J")</f>
        <v>J</v>
      </c>
      <c r="AC60" s="103"/>
      <c r="AD60" s="103">
        <f ca="1">IFERROR(__xludf.DUMMYFUNCTION("""COMPUTED_VALUE"""),55)</f>
        <v>55</v>
      </c>
      <c r="AE60" s="103">
        <f ca="1">IFERROR(__xludf.DUMMYFUNCTION("""COMPUTED_VALUE"""),9.2)</f>
        <v>9.1999999999999993</v>
      </c>
      <c r="AF60" s="103">
        <f ca="1">IFERROR(__xludf.DUMMYFUNCTION("""COMPUTED_VALUE"""),300)</f>
        <v>300</v>
      </c>
      <c r="AG60" s="103">
        <f ca="1">IFERROR(__xludf.DUMMYFUNCTION("""COMPUTED_VALUE"""),6)</f>
        <v>6</v>
      </c>
      <c r="AH60" s="103">
        <f ca="1">IFERROR(__xludf.DUMMYFUNCTION("""COMPUTED_VALUE"""),12)</f>
        <v>12</v>
      </c>
      <c r="AI60" s="103">
        <f ca="1">IFERROR(__xludf.DUMMYFUNCTION("""COMPUTED_VALUE"""),9)</f>
        <v>9</v>
      </c>
      <c r="AJ60" s="103" t="str">
        <f ca="1">IFERROR(__xludf.DUMMYFUNCTION("""COMPUTED_VALUE"""),"MORS")</f>
        <v>MORS</v>
      </c>
      <c r="AK60" s="103">
        <f ca="1">IFERROR(__xludf.DUMMYFUNCTION("""COMPUTED_VALUE"""),20)</f>
        <v>20</v>
      </c>
      <c r="AL60" s="103"/>
      <c r="AM60" s="103"/>
      <c r="AN60" s="103"/>
      <c r="AO60" s="57">
        <f ca="1">IFERROR(__xludf.DUMMYFUNCTION("""COMPUTED_VALUE"""),0)</f>
        <v>0</v>
      </c>
      <c r="AP60" s="103">
        <f ca="1">IFERROR(__xludf.DUMMYFUNCTION("""COMPUTED_VALUE"""),2)</f>
        <v>2</v>
      </c>
    </row>
    <row r="61" spans="1:42">
      <c r="A61" s="103">
        <f ca="1">IFERROR(__xludf.DUMMYFUNCTION("""COMPUTED_VALUE"""),6)</f>
        <v>6</v>
      </c>
      <c r="B61" s="103" t="str">
        <f ca="1">IFERROR(__xludf.DUMMYFUNCTION("""COMPUTED_VALUE"""),"JSM")</f>
        <v>JSM</v>
      </c>
      <c r="C61" s="103" t="str">
        <f ca="1">IFERROR(__xludf.DUMMYFUNCTION("""COMPUTED_VALUE"""),"R")</f>
        <v>R</v>
      </c>
      <c r="D61" s="103">
        <f ca="1">IFERROR(__xludf.DUMMYFUNCTION("""COMPUTED_VALUE"""),135291845)</f>
        <v>135291845</v>
      </c>
      <c r="E61" s="103" t="str">
        <f ca="1">IFERROR(__xludf.DUMMYFUNCTION("""COMPUTED_VALUE"""),"American Robin")</f>
        <v>American Robin</v>
      </c>
      <c r="F61" s="103" t="str">
        <f ca="1">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 ca="1">IFERROR(__xludf.DUMMYFUNCTION("""COMPUTED_VALUE"""),6)</f>
        <v>6</v>
      </c>
      <c r="AH61" s="103">
        <f ca="1">IFERROR(__xludf.DUMMYFUNCTION("""COMPUTED_VALUE"""),12)</f>
        <v>12</v>
      </c>
      <c r="AI61" s="103">
        <f ca="1">IFERROR(__xludf.DUMMYFUNCTION("""COMPUTED_VALUE"""),920)</f>
        <v>920</v>
      </c>
      <c r="AJ61" s="103" t="str">
        <f ca="1">IFERROR(__xludf.DUMMYFUNCTION("""COMPUTED_VALUE"""),"MORS")</f>
        <v>MORS</v>
      </c>
      <c r="AK61" s="103">
        <f ca="1">IFERROR(__xludf.DUMMYFUNCTION("""COMPUTED_VALUE"""),9)</f>
        <v>9</v>
      </c>
      <c r="AL61" s="103"/>
      <c r="AM61" s="103">
        <f ca="1">IFERROR(__xludf.DUMMYFUNCTION("""COMPUTED_VALUE"""),2)</f>
        <v>2</v>
      </c>
      <c r="AN61" s="103" t="str">
        <f ca="1">IFERROR(__xludf.DUMMYFUNCTION("""COMPUTED_VALUE"""),"Same day recap. Released at net.")</f>
        <v>Same day recap. Released at net.</v>
      </c>
      <c r="AO61" s="57" t="str">
        <f ca="1">IFERROR(__xludf.DUMMYFUNCTION("""COMPUTED_VALUE"""),"R")</f>
        <v>R</v>
      </c>
      <c r="AP61" s="103">
        <f ca="1">IFERROR(__xludf.DUMMYFUNCTION("""COMPUTED_VALUE"""),2)</f>
        <v>2</v>
      </c>
    </row>
    <row r="62" spans="1:42">
      <c r="A62" s="103">
        <f ca="1">IFERROR(__xludf.DUMMYFUNCTION("""COMPUTED_VALUE"""),7)</f>
        <v>7</v>
      </c>
      <c r="B62" s="103" t="str">
        <f ca="1">IFERROR(__xludf.DUMMYFUNCTION("""COMPUTED_VALUE"""),"JSM")</f>
        <v>JSM</v>
      </c>
      <c r="C62" s="103" t="str">
        <f ca="1">IFERROR(__xludf.DUMMYFUNCTION("""COMPUTED_VALUE"""),"U")</f>
        <v>U</v>
      </c>
      <c r="D62" s="103"/>
      <c r="E62" s="103" t="str">
        <f ca="1">IFERROR(__xludf.DUMMYFUNCTION("""COMPUTED_VALUE"""),"Rufus Hummingbird")</f>
        <v>Rufus Hummingbird</v>
      </c>
      <c r="F62" s="103" t="str">
        <f ca="1">IFERROR(__xludf.DUMMYFUNCTION("""COMPUTED_VALUE"""),"RUHU")</f>
        <v>RUHU</v>
      </c>
      <c r="G62" s="103">
        <f ca="1">IFERROR(__xludf.DUMMYFUNCTION("""COMPUTED_VALUE"""),2)</f>
        <v>2</v>
      </c>
      <c r="H62" s="103" t="str">
        <f ca="1">IFERROR(__xludf.DUMMYFUNCTION("""COMPUTED_VALUE"""),"J")</f>
        <v>J</v>
      </c>
      <c r="I62" s="103"/>
      <c r="J62" s="103" t="str">
        <f ca="1">IFERROR(__xludf.DUMMYFUNCTION("""COMPUTED_VALUE"""),"FCJ")</f>
        <v>FCJ</v>
      </c>
      <c r="K62" s="103" t="str">
        <f ca="1">IFERROR(__xludf.DUMMYFUNCTION("""COMPUTED_VALUE"""),"U")</f>
        <v>U</v>
      </c>
      <c r="L62" s="103"/>
      <c r="M62" s="103"/>
      <c r="N62" s="103"/>
      <c r="O62" s="103"/>
      <c r="P62" s="103"/>
      <c r="Q62" s="103"/>
      <c r="R62" s="103"/>
      <c r="S62" s="103"/>
      <c r="T62" s="103"/>
      <c r="U62" s="103"/>
      <c r="V62" s="103"/>
      <c r="W62" s="103"/>
      <c r="X62" s="103"/>
      <c r="Y62" s="103"/>
      <c r="Z62" s="103"/>
      <c r="AA62" s="103"/>
      <c r="AB62" s="103" t="str">
        <f ca="1">IFERROR(__xludf.DUMMYFUNCTION("""COMPUTED_VALUE"""),"J")</f>
        <v>J</v>
      </c>
      <c r="AC62" s="103"/>
      <c r="AD62" s="103"/>
      <c r="AE62" s="103"/>
      <c r="AF62" s="103"/>
      <c r="AG62" s="103">
        <f ca="1">IFERROR(__xludf.DUMMYFUNCTION("""COMPUTED_VALUE"""),6)</f>
        <v>6</v>
      </c>
      <c r="AH62" s="103">
        <f ca="1">IFERROR(__xludf.DUMMYFUNCTION("""COMPUTED_VALUE"""),12)</f>
        <v>12</v>
      </c>
      <c r="AI62" s="103">
        <f ca="1">IFERROR(__xludf.DUMMYFUNCTION("""COMPUTED_VALUE"""),920)</f>
        <v>920</v>
      </c>
      <c r="AJ62" s="103" t="str">
        <f ca="1">IFERROR(__xludf.DUMMYFUNCTION("""COMPUTED_VALUE"""),"MORS")</f>
        <v>MORS</v>
      </c>
      <c r="AK62" s="103">
        <f ca="1">IFERROR(__xludf.DUMMYFUNCTION("""COMPUTED_VALUE"""),6)</f>
        <v>6</v>
      </c>
      <c r="AL62" s="103"/>
      <c r="AM62" s="103"/>
      <c r="AN62" s="103"/>
      <c r="AO62" s="57" t="str">
        <f ca="1">IFERROR(__xludf.DUMMYFUNCTION("""COMPUTED_VALUE"""),"U")</f>
        <v>U</v>
      </c>
      <c r="AP62" s="103">
        <f ca="1">IFERROR(__xludf.DUMMYFUNCTION("""COMPUTED_VALUE"""),2)</f>
        <v>2</v>
      </c>
    </row>
    <row r="63" spans="1:42">
      <c r="A63" s="103">
        <f ca="1">IFERROR(__xludf.DUMMYFUNCTION("""COMPUTED_VALUE"""),8)</f>
        <v>8</v>
      </c>
      <c r="B63" s="103" t="str">
        <f ca="1">IFERROR(__xludf.DUMMYFUNCTION("""COMPUTED_VALUE"""),"JSM")</f>
        <v>JSM</v>
      </c>
      <c r="C63" s="103" t="str">
        <f ca="1">IFERROR(__xludf.DUMMYFUNCTION("""COMPUTED_VALUE"""),"N")</f>
        <v>N</v>
      </c>
      <c r="D63" s="103">
        <f ca="1">IFERROR(__xludf.DUMMYFUNCTION("""COMPUTED_VALUE"""),288029940)</f>
        <v>288029940</v>
      </c>
      <c r="E63" s="103" t="str">
        <f ca="1">IFERROR(__xludf.DUMMYFUNCTION("""COMPUTED_VALUE"""),"Orange-crowned Warbler")</f>
        <v>Orange-crowned Warbler</v>
      </c>
      <c r="F63" s="103" t="str">
        <f ca="1">IFERROR(__xludf.DUMMYFUNCTION("""COMPUTED_VALUE"""),"OCWA")</f>
        <v>OCWA</v>
      </c>
      <c r="G63" s="103">
        <f ca="1">IFERROR(__xludf.DUMMYFUNCTION("""COMPUTED_VALUE"""),2)</f>
        <v>2</v>
      </c>
      <c r="H63" s="103" t="str">
        <f ca="1">IFERROR(__xludf.DUMMYFUNCTION("""COMPUTED_VALUE"""),"J")</f>
        <v>J</v>
      </c>
      <c r="I63" s="103"/>
      <c r="J63" s="103" t="str">
        <f ca="1">IFERROR(__xludf.DUMMYFUNCTION("""COMPUTED_VALUE"""),"FPJ")</f>
        <v>FPJ</v>
      </c>
      <c r="K63" s="103" t="str">
        <f ca="1">IFERROR(__xludf.DUMMYFUNCTION("""COMPUTED_VALUE"""),"U")</f>
        <v>U</v>
      </c>
      <c r="L63" s="103"/>
      <c r="M63" s="103"/>
      <c r="N63" s="103">
        <f ca="1">IFERROR(__xludf.DUMMYFUNCTION("""COMPUTED_VALUE"""),2)</f>
        <v>2</v>
      </c>
      <c r="O63" s="103">
        <f ca="1">IFERROR(__xludf.DUMMYFUNCTION("""COMPUTED_VALUE"""),0)</f>
        <v>0</v>
      </c>
      <c r="P63" s="103">
        <f ca="1">IFERROR(__xludf.DUMMYFUNCTION("""COMPUTED_VALUE"""),0)</f>
        <v>0</v>
      </c>
      <c r="Q63" s="103">
        <f ca="1">IFERROR(__xludf.DUMMYFUNCTION("""COMPUTED_VALUE"""),1)</f>
        <v>1</v>
      </c>
      <c r="R63" s="103">
        <f ca="1">IFERROR(__xludf.DUMMYFUNCTION("""COMPUTED_VALUE"""),2)</f>
        <v>2</v>
      </c>
      <c r="S63" s="103">
        <f ca="1">IFERROR(__xludf.DUMMYFUNCTION("""COMPUTED_VALUE"""),0)</f>
        <v>0</v>
      </c>
      <c r="T63" s="103">
        <f ca="1">IFERROR(__xludf.DUMMYFUNCTION("""COMPUTED_VALUE"""),0)</f>
        <v>0</v>
      </c>
      <c r="U63" s="103">
        <f ca="1">IFERROR(__xludf.DUMMYFUNCTION("""COMPUTED_VALUE"""),3)</f>
        <v>3</v>
      </c>
      <c r="V63" s="103" t="str">
        <f ca="1">IFERROR(__xludf.DUMMYFUNCTION("""COMPUTED_VALUE"""),"J")</f>
        <v>J</v>
      </c>
      <c r="W63" s="103"/>
      <c r="X63" s="103"/>
      <c r="Y63" s="103"/>
      <c r="Z63" s="103"/>
      <c r="AA63" s="103"/>
      <c r="AB63" s="103" t="str">
        <f ca="1">IFERROR(__xludf.DUMMYFUNCTION("""COMPUTED_VALUE"""),"J")</f>
        <v>J</v>
      </c>
      <c r="AC63" s="103"/>
      <c r="AD63" s="103">
        <f ca="1">IFERROR(__xludf.DUMMYFUNCTION("""COMPUTED_VALUE"""),54)</f>
        <v>54</v>
      </c>
      <c r="AE63" s="103"/>
      <c r="AF63" s="103">
        <f ca="1">IFERROR(__xludf.DUMMYFUNCTION("""COMPUTED_VALUE"""),300)</f>
        <v>300</v>
      </c>
      <c r="AG63" s="103">
        <f ca="1">IFERROR(__xludf.DUMMYFUNCTION("""COMPUTED_VALUE"""),6)</f>
        <v>6</v>
      </c>
      <c r="AH63" s="103">
        <f ca="1">IFERROR(__xludf.DUMMYFUNCTION("""COMPUTED_VALUE"""),12)</f>
        <v>12</v>
      </c>
      <c r="AI63" s="103">
        <f ca="1">IFERROR(__xludf.DUMMYFUNCTION("""COMPUTED_VALUE"""),10)</f>
        <v>10</v>
      </c>
      <c r="AJ63" s="103" t="str">
        <f ca="1">IFERROR(__xludf.DUMMYFUNCTION("""COMPUTED_VALUE"""),"MORS")</f>
        <v>MORS</v>
      </c>
      <c r="AK63" s="103">
        <f ca="1">IFERROR(__xludf.DUMMYFUNCTION("""COMPUTED_VALUE"""),15)</f>
        <v>15</v>
      </c>
      <c r="AL63" s="103"/>
      <c r="AM63" s="103"/>
      <c r="AN63" s="103"/>
      <c r="AO63" s="57">
        <f ca="1">IFERROR(__xludf.DUMMYFUNCTION("""COMPUTED_VALUE"""),0)</f>
        <v>0</v>
      </c>
      <c r="AP63" s="103">
        <f ca="1">IFERROR(__xludf.DUMMYFUNCTION("""COMPUTED_VALUE"""),2)</f>
        <v>2</v>
      </c>
    </row>
    <row r="64" spans="1:42">
      <c r="A64" s="103">
        <f ca="1">IFERROR(__xludf.DUMMYFUNCTION("""COMPUTED_VALUE"""),9)</f>
        <v>9</v>
      </c>
      <c r="B64" s="103" t="str">
        <f ca="1">IFERROR(__xludf.DUMMYFUNCTION("""COMPUTED_VALUE"""),"JSM")</f>
        <v>JSM</v>
      </c>
      <c r="C64" s="103" t="str">
        <f ca="1">IFERROR(__xludf.DUMMYFUNCTION("""COMPUTED_VALUE"""),"U")</f>
        <v>U</v>
      </c>
      <c r="D64" s="103"/>
      <c r="E64" s="103" t="str">
        <f ca="1">IFERROR(__xludf.DUMMYFUNCTION("""COMPUTED_VALUE"""),"Rufus Hummingbird")</f>
        <v>Rufus Hummingbird</v>
      </c>
      <c r="F64" s="103" t="str">
        <f ca="1">IFERROR(__xludf.DUMMYFUNCTION("""COMPUTED_VALUE"""),"RUHU")</f>
        <v>RUHU</v>
      </c>
      <c r="G64" s="103">
        <f ca="1">IFERROR(__xludf.DUMMYFUNCTION("""COMPUTED_VALUE"""),6)</f>
        <v>6</v>
      </c>
      <c r="H64" s="103" t="str">
        <f ca="1">IFERROR(__xludf.DUMMYFUNCTION("""COMPUTED_VALUE"""),"P")</f>
        <v>P</v>
      </c>
      <c r="I64" s="103"/>
      <c r="J64" s="103" t="str">
        <f ca="1">IFERROR(__xludf.DUMMYFUNCTION("""COMPUTED_VALUE"""),"DCB")</f>
        <v>DCB</v>
      </c>
      <c r="K64" s="103" t="str">
        <f ca="1">IFERROR(__xludf.DUMMYFUNCTION("""COMPUTED_VALUE"""),"M")</f>
        <v>M</v>
      </c>
      <c r="L64" s="103" t="str">
        <f ca="1">IFERROR(__xludf.DUMMYFUNCTION("""COMPUTED_VALUE"""),"P")</f>
        <v>P</v>
      </c>
      <c r="M64" s="103"/>
      <c r="N64" s="103"/>
      <c r="O64" s="103"/>
      <c r="P64" s="103"/>
      <c r="Q64" s="103"/>
      <c r="R64" s="103"/>
      <c r="S64" s="103"/>
      <c r="T64" s="103"/>
      <c r="U64" s="103"/>
      <c r="V64" s="103"/>
      <c r="W64" s="103"/>
      <c r="X64" s="103"/>
      <c r="Y64" s="103"/>
      <c r="Z64" s="103"/>
      <c r="AA64" s="103" t="str">
        <f ca="1">IFERROR(__xludf.DUMMYFUNCTION("""COMPUTED_VALUE"""),"B")</f>
        <v>B</v>
      </c>
      <c r="AB64" s="103" t="str">
        <f ca="1">IFERROR(__xludf.DUMMYFUNCTION("""COMPUTED_VALUE"""),"B")</f>
        <v>B</v>
      </c>
      <c r="AC64" s="103"/>
      <c r="AD64" s="103"/>
      <c r="AE64" s="103"/>
      <c r="AF64" s="103">
        <f ca="1">IFERROR(__xludf.DUMMYFUNCTION("""COMPUTED_VALUE"""),300)</f>
        <v>300</v>
      </c>
      <c r="AG64" s="103">
        <f ca="1">IFERROR(__xludf.DUMMYFUNCTION("""COMPUTED_VALUE"""),6)</f>
        <v>6</v>
      </c>
      <c r="AH64" s="103">
        <f ca="1">IFERROR(__xludf.DUMMYFUNCTION("""COMPUTED_VALUE"""),12)</f>
        <v>12</v>
      </c>
      <c r="AI64" s="103">
        <f ca="1">IFERROR(__xludf.DUMMYFUNCTION("""COMPUTED_VALUE"""),1120)</f>
        <v>1120</v>
      </c>
      <c r="AJ64" s="103" t="str">
        <f ca="1">IFERROR(__xludf.DUMMYFUNCTION("""COMPUTED_VALUE"""),"MORS")</f>
        <v>MORS</v>
      </c>
      <c r="AK64" s="103">
        <f ca="1">IFERROR(__xludf.DUMMYFUNCTION("""COMPUTED_VALUE"""),21)</f>
        <v>21</v>
      </c>
      <c r="AL64" s="103"/>
      <c r="AM64" s="103"/>
      <c r="AN64" s="103"/>
      <c r="AO64" s="57" t="str">
        <f ca="1">IFERROR(__xludf.DUMMYFUNCTION("""COMPUTED_VALUE"""),"U")</f>
        <v>U</v>
      </c>
      <c r="AP64" s="103">
        <f ca="1">IFERROR(__xludf.DUMMYFUNCTION("""COMPUTED_VALUE"""),2)</f>
        <v>2</v>
      </c>
    </row>
    <row r="65" spans="1:42">
      <c r="A65" s="103">
        <f ca="1">IFERROR(__xludf.DUMMYFUNCTION("""COMPUTED_VALUE"""),1)</f>
        <v>1</v>
      </c>
      <c r="B65" s="103" t="str">
        <f ca="1">IFERROR(__xludf.DUMMYFUNCTION("""COMPUTED_VALUE"""),"ACC")</f>
        <v>ACC</v>
      </c>
      <c r="C65" s="103" t="str">
        <f ca="1">IFERROR(__xludf.DUMMYFUNCTION("""COMPUTED_VALUE"""),"N")</f>
        <v>N</v>
      </c>
      <c r="D65" s="103">
        <f ca="1">IFERROR(__xludf.DUMMYFUNCTION("""COMPUTED_VALUE"""),290077831)</f>
        <v>290077831</v>
      </c>
      <c r="E65" s="103" t="str">
        <f ca="1">IFERROR(__xludf.DUMMYFUNCTION("""COMPUTED_VALUE"""),"Wilson's Warbler")</f>
        <v>Wilson's Warbler</v>
      </c>
      <c r="F65" s="103" t="str">
        <f ca="1">IFERROR(__xludf.DUMMYFUNCTION("""COMPUTED_VALUE"""),"WIWA")</f>
        <v>WIWA</v>
      </c>
      <c r="G65" s="103">
        <f ca="1">IFERROR(__xludf.DUMMYFUNCTION("""COMPUTED_VALUE"""),1)</f>
        <v>1</v>
      </c>
      <c r="H65" s="103" t="str">
        <f ca="1">IFERROR(__xludf.DUMMYFUNCTION("""COMPUTED_VALUE"""),"P")</f>
        <v>P</v>
      </c>
      <c r="I65" s="103"/>
      <c r="J65" s="103" t="str">
        <f ca="1">IFERROR(__xludf.DUMMYFUNCTION("""COMPUTED_VALUE"""),"DCB")</f>
        <v>DCB</v>
      </c>
      <c r="K65" s="103" t="str">
        <f ca="1">IFERROR(__xludf.DUMMYFUNCTION("""COMPUTED_VALUE"""),"M")</f>
        <v>M</v>
      </c>
      <c r="L65" s="103" t="str">
        <f ca="1">IFERROR(__xludf.DUMMYFUNCTION("""COMPUTED_VALUE"""),"P")</f>
        <v>P</v>
      </c>
      <c r="M65" s="103"/>
      <c r="N65" s="103"/>
      <c r="O65" s="103">
        <f ca="1">IFERROR(__xludf.DUMMYFUNCTION("""COMPUTED_VALUE"""),1)</f>
        <v>1</v>
      </c>
      <c r="P65" s="103">
        <f ca="1">IFERROR(__xludf.DUMMYFUNCTION("""COMPUTED_VALUE"""),0)</f>
        <v>0</v>
      </c>
      <c r="Q65" s="103"/>
      <c r="R65" s="103"/>
      <c r="S65" s="103"/>
      <c r="T65" s="103"/>
      <c r="U65" s="103"/>
      <c r="V65" s="103"/>
      <c r="W65" s="103"/>
      <c r="X65" s="103"/>
      <c r="Y65" s="103"/>
      <c r="Z65" s="103"/>
      <c r="AA65" s="103"/>
      <c r="AB65" s="103"/>
      <c r="AC65" s="103"/>
      <c r="AD65" s="103">
        <f ca="1">IFERROR(__xludf.DUMMYFUNCTION("""COMPUTED_VALUE"""),59)</f>
        <v>59</v>
      </c>
      <c r="AE65" s="103">
        <f ca="1">IFERROR(__xludf.DUMMYFUNCTION("""COMPUTED_VALUE"""),8.3)</f>
        <v>8.3000000000000007</v>
      </c>
      <c r="AF65" s="103">
        <f ca="1">IFERROR(__xludf.DUMMYFUNCTION("""COMPUTED_VALUE"""),300)</f>
        <v>300</v>
      </c>
      <c r="AG65" s="103">
        <f ca="1">IFERROR(__xludf.DUMMYFUNCTION("""COMPUTED_VALUE"""),6)</f>
        <v>6</v>
      </c>
      <c r="AH65" s="103">
        <f ca="1">IFERROR(__xludf.DUMMYFUNCTION("""COMPUTED_VALUE"""),12)</f>
        <v>12</v>
      </c>
      <c r="AI65" s="103">
        <f ca="1">IFERROR(__xludf.DUMMYFUNCTION("""COMPUTED_VALUE"""),710)</f>
        <v>710</v>
      </c>
      <c r="AJ65" s="103" t="str">
        <f ca="1">IFERROR(__xludf.DUMMYFUNCTION("""COMPUTED_VALUE"""),"MORS")</f>
        <v>MORS</v>
      </c>
      <c r="AK65" s="103">
        <f ca="1">IFERROR(__xludf.DUMMYFUNCTION("""COMPUTED_VALUE"""),15)</f>
        <v>15</v>
      </c>
      <c r="AL65" s="103" t="str">
        <f ca="1">IFERROR(__xludf.DUMMYFUNCTION("""COMPUTED_VALUE"""),"E")</f>
        <v>E</v>
      </c>
      <c r="AM65" s="103">
        <f ca="1">IFERROR(__xludf.DUMMYFUNCTION("""COMPUTED_VALUE"""),1)</f>
        <v>1</v>
      </c>
      <c r="AN65" s="103" t="str">
        <f ca="1">IFERROR(__xludf.DUMMYFUNCTION("""COMPUTED_VALUE"""),"Crown patch 18mm; skinny black. Right eye injury; lower lid abcess pink and swollen.")</f>
        <v>Crown patch 18mm; skinny black. Right eye injury; lower lid abcess pink and swollen.</v>
      </c>
      <c r="AO65" s="57" t="str">
        <f ca="1">IFERROR(__xludf.DUMMYFUNCTION("""COMPUTED_VALUE"""),"0A")</f>
        <v>0A</v>
      </c>
      <c r="AP65" s="103">
        <f ca="1">IFERROR(__xludf.DUMMYFUNCTION("""COMPUTED_VALUE"""),3)</f>
        <v>3</v>
      </c>
    </row>
    <row r="66" spans="1:42">
      <c r="A66" s="103">
        <f ca="1">IFERROR(__xludf.DUMMYFUNCTION("""COMPUTED_VALUE"""),2)</f>
        <v>2</v>
      </c>
      <c r="B66" s="103" t="str">
        <f ca="1">IFERROR(__xludf.DUMMYFUNCTION("""COMPUTED_VALUE"""),"ACC")</f>
        <v>ACC</v>
      </c>
      <c r="C66" s="103" t="str">
        <f ca="1">IFERROR(__xludf.DUMMYFUNCTION("""COMPUTED_VALUE"""),"R")</f>
        <v>R</v>
      </c>
      <c r="D66" s="103">
        <f ca="1">IFERROR(__xludf.DUMMYFUNCTION("""COMPUTED_VALUE"""),283105290)</f>
        <v>283105290</v>
      </c>
      <c r="E66" s="103" t="str">
        <f ca="1">IFERROR(__xludf.DUMMYFUNCTION("""COMPUTED_VALUE"""),"Swainson's Thrush")</f>
        <v>Swainson's Thrush</v>
      </c>
      <c r="F66" s="103" t="str">
        <f ca="1">IFERROR(__xludf.DUMMYFUNCTION("""COMPUTED_VALUE"""),"SWTH")</f>
        <v>SWTH</v>
      </c>
      <c r="G66" s="103">
        <f ca="1">IFERROR(__xludf.DUMMYFUNCTION("""COMPUTED_VALUE"""),1)</f>
        <v>1</v>
      </c>
      <c r="H66" s="103" t="str">
        <f ca="1">IFERROR(__xludf.DUMMYFUNCTION("""COMPUTED_VALUE"""),"P")</f>
        <v>P</v>
      </c>
      <c r="I66" s="103"/>
      <c r="J66" s="103" t="str">
        <f ca="1">IFERROR(__xludf.DUMMYFUNCTION("""COMPUTED_VALUE"""),"DCB")</f>
        <v>DCB</v>
      </c>
      <c r="K66" s="103" t="str">
        <f ca="1">IFERROR(__xludf.DUMMYFUNCTION("""COMPUTED_VALUE"""),"F")</f>
        <v>F</v>
      </c>
      <c r="L66" s="103" t="str">
        <f ca="1">IFERROR(__xludf.DUMMYFUNCTION("""COMPUTED_VALUE"""),"B")</f>
        <v>B</v>
      </c>
      <c r="M66" s="103"/>
      <c r="N66" s="103"/>
      <c r="O66" s="103">
        <f ca="1">IFERROR(__xludf.DUMMYFUNCTION("""COMPUTED_VALUE"""),0)</f>
        <v>0</v>
      </c>
      <c r="P66" s="103">
        <f ca="1">IFERROR(__xludf.DUMMYFUNCTION("""COMPUTED_VALUE"""),3)</f>
        <v>3</v>
      </c>
      <c r="Q66" s="103">
        <f ca="1">IFERROR(__xludf.DUMMYFUNCTION("""COMPUTED_VALUE"""),0)</f>
        <v>0</v>
      </c>
      <c r="R66" s="103">
        <f ca="1">IFERROR(__xludf.DUMMYFUNCTION("""COMPUTED_VALUE"""),0)</f>
        <v>0</v>
      </c>
      <c r="S66" s="103" t="str">
        <f ca="1">IFERROR(__xludf.DUMMYFUNCTION("""COMPUTED_VALUE"""),"N")</f>
        <v>N</v>
      </c>
      <c r="T66" s="103">
        <f ca="1">IFERROR(__xludf.DUMMYFUNCTION("""COMPUTED_VALUE"""),2)</f>
        <v>2</v>
      </c>
      <c r="U66" s="103"/>
      <c r="V66" s="103"/>
      <c r="W66" s="103"/>
      <c r="X66" s="103"/>
      <c r="Y66" s="103"/>
      <c r="Z66" s="103"/>
      <c r="AA66" s="103" t="str">
        <f ca="1">IFERROR(__xludf.DUMMYFUNCTION("""COMPUTED_VALUE"""),"B")</f>
        <v>B</v>
      </c>
      <c r="AB66" s="103"/>
      <c r="AC66" s="103"/>
      <c r="AD66" s="103">
        <f ca="1">IFERROR(__xludf.DUMMYFUNCTION("""COMPUTED_VALUE"""),95)</f>
        <v>95</v>
      </c>
      <c r="AE66" s="103">
        <f ca="1">IFERROR(__xludf.DUMMYFUNCTION("""COMPUTED_VALUE"""),34.8)</f>
        <v>34.799999999999997</v>
      </c>
      <c r="AF66" s="103">
        <f ca="1">IFERROR(__xludf.DUMMYFUNCTION("""COMPUTED_VALUE"""),300)</f>
        <v>300</v>
      </c>
      <c r="AG66" s="103">
        <f ca="1">IFERROR(__xludf.DUMMYFUNCTION("""COMPUTED_VALUE"""),6)</f>
        <v>6</v>
      </c>
      <c r="AH66" s="103">
        <f ca="1">IFERROR(__xludf.DUMMYFUNCTION("""COMPUTED_VALUE"""),12)</f>
        <v>12</v>
      </c>
      <c r="AI66" s="103">
        <f ca="1">IFERROR(__xludf.DUMMYFUNCTION("""COMPUTED_VALUE"""),810)</f>
        <v>810</v>
      </c>
      <c r="AJ66" s="103" t="str">
        <f ca="1">IFERROR(__xludf.DUMMYFUNCTION("""COMPUTED_VALUE"""),"MORS")</f>
        <v>MORS</v>
      </c>
      <c r="AK66" s="103">
        <f ca="1">IFERROR(__xludf.DUMMYFUNCTION("""COMPUTED_VALUE"""),14)</f>
        <v>14</v>
      </c>
      <c r="AL66" s="103"/>
      <c r="AM66" s="103">
        <f ca="1">IFERROR(__xludf.DUMMYFUNCTION("""COMPUTED_VALUE"""),2)</f>
        <v>2</v>
      </c>
      <c r="AN66" s="103" t="str">
        <f ca="1">IFERROR(__xludf.DUMMYFUNCTION("""COMPUTED_VALUE"""),"P10 4mm shorter than ppcov, narrow and tapered")</f>
        <v>P10 4mm shorter than ppcov, narrow and tapered</v>
      </c>
      <c r="AO66" s="57" t="str">
        <f ca="1">IFERROR(__xludf.DUMMYFUNCTION("""COMPUTED_VALUE"""),"R")</f>
        <v>R</v>
      </c>
      <c r="AP66" s="103">
        <f ca="1">IFERROR(__xludf.DUMMYFUNCTION("""COMPUTED_VALUE"""),3)</f>
        <v>3</v>
      </c>
    </row>
    <row r="67" spans="1:42">
      <c r="A67" s="103">
        <f ca="1">IFERROR(__xludf.DUMMYFUNCTION("""COMPUTED_VALUE"""),3)</f>
        <v>3</v>
      </c>
      <c r="B67" s="103" t="str">
        <f ca="1">IFERROR(__xludf.DUMMYFUNCTION("""COMPUTED_VALUE"""),"ACC")</f>
        <v>ACC</v>
      </c>
      <c r="C67" s="103" t="str">
        <f ca="1">IFERROR(__xludf.DUMMYFUNCTION("""COMPUTED_VALUE"""),"R")</f>
        <v>R</v>
      </c>
      <c r="D67" s="103">
        <f ca="1">IFERROR(__xludf.DUMMYFUNCTION("""COMPUTED_VALUE"""),172176225)</f>
        <v>172176225</v>
      </c>
      <c r="E67" s="103" t="str">
        <f ca="1">IFERROR(__xludf.DUMMYFUNCTION("""COMPUTED_VALUE"""),"Swainson's Thrush")</f>
        <v>Swainson's Thrush</v>
      </c>
      <c r="F67" s="103" t="str">
        <f ca="1">IFERROR(__xludf.DUMMYFUNCTION("""COMPUTED_VALUE"""),"SWTH")</f>
        <v>SWTH</v>
      </c>
      <c r="G67" s="103">
        <f ca="1">IFERROR(__xludf.DUMMYFUNCTION("""COMPUTED_VALUE"""),1)</f>
        <v>1</v>
      </c>
      <c r="H67" s="103" t="str">
        <f ca="1">IFERROR(__xludf.DUMMYFUNCTION("""COMPUTED_VALUE"""),"P")</f>
        <v>P</v>
      </c>
      <c r="I67" s="103"/>
      <c r="J67" s="103"/>
      <c r="K67" s="103"/>
      <c r="L67" s="103"/>
      <c r="M67" s="103"/>
      <c r="N67" s="103"/>
      <c r="O67" s="103">
        <f ca="1">IFERROR(__xludf.DUMMYFUNCTION("""COMPUTED_VALUE"""),2)</f>
        <v>2</v>
      </c>
      <c r="P67" s="103">
        <f ca="1">IFERROR(__xludf.DUMMYFUNCTION("""COMPUTED_VALUE"""),0)</f>
        <v>0</v>
      </c>
      <c r="Q67" s="103">
        <f ca="1">IFERROR(__xludf.DUMMYFUNCTION("""COMPUTED_VALUE"""),0)</f>
        <v>0</v>
      </c>
      <c r="R67" s="103">
        <f ca="1">IFERROR(__xludf.DUMMYFUNCTION("""COMPUTED_VALUE"""),0)</f>
        <v>0</v>
      </c>
      <c r="S67" s="103" t="str">
        <f ca="1">IFERROR(__xludf.DUMMYFUNCTION("""COMPUTED_VALUE"""),"N")</f>
        <v>N</v>
      </c>
      <c r="T67" s="103">
        <f ca="1">IFERROR(__xludf.DUMMYFUNCTION("""COMPUTED_VALUE"""),2)</f>
        <v>2</v>
      </c>
      <c r="U67" s="103"/>
      <c r="V67" s="103"/>
      <c r="W67" s="103"/>
      <c r="X67" s="103"/>
      <c r="Y67" s="103"/>
      <c r="Z67" s="103"/>
      <c r="AA67" s="103"/>
      <c r="AB67" s="103"/>
      <c r="AC67" s="103"/>
      <c r="AD67" s="103">
        <f ca="1">IFERROR(__xludf.DUMMYFUNCTION("""COMPUTED_VALUE"""),95)</f>
        <v>95</v>
      </c>
      <c r="AE67" s="103">
        <f ca="1">IFERROR(__xludf.DUMMYFUNCTION("""COMPUTED_VALUE"""),29.2)</f>
        <v>29.2</v>
      </c>
      <c r="AF67" s="103">
        <f ca="1">IFERROR(__xludf.DUMMYFUNCTION("""COMPUTED_VALUE"""),300)</f>
        <v>300</v>
      </c>
      <c r="AG67" s="103">
        <f ca="1">IFERROR(__xludf.DUMMYFUNCTION("""COMPUTED_VALUE"""),6)</f>
        <v>6</v>
      </c>
      <c r="AH67" s="103">
        <f ca="1">IFERROR(__xludf.DUMMYFUNCTION("""COMPUTED_VALUE"""),12)</f>
        <v>12</v>
      </c>
      <c r="AI67" s="103">
        <f ca="1">IFERROR(__xludf.DUMMYFUNCTION("""COMPUTED_VALUE"""),840)</f>
        <v>840</v>
      </c>
      <c r="AJ67" s="103" t="str">
        <f ca="1">IFERROR(__xludf.DUMMYFUNCTION("""COMPUTED_VALUE"""),"MORS")</f>
        <v>MORS</v>
      </c>
      <c r="AK67" s="103">
        <f ca="1">IFERROR(__xludf.DUMMYFUNCTION("""COMPUTED_VALUE"""),21)</f>
        <v>21</v>
      </c>
      <c r="AL67" s="103"/>
      <c r="AM67" s="103">
        <f ca="1">IFERROR(__xludf.DUMMYFUNCTION("""COMPUTED_VALUE"""),3)</f>
        <v>3</v>
      </c>
      <c r="AN67" s="103" t="str">
        <f ca="1">IFERROR(__xludf.DUMMYFUNCTION("""COMPUTED_VALUE"""),"P10 4mm shorter than ppcov, narrow and tappered.")</f>
        <v>P10 4mm shorter than ppcov, narrow and tappered.</v>
      </c>
      <c r="AO67" s="57" t="str">
        <f ca="1">IFERROR(__xludf.DUMMYFUNCTION("""COMPUTED_VALUE"""),"R")</f>
        <v>R</v>
      </c>
      <c r="AP67" s="103">
        <f ca="1">IFERROR(__xludf.DUMMYFUNCTION("""COMPUTED_VALUE"""),3)</f>
        <v>3</v>
      </c>
    </row>
    <row r="68" spans="1:42">
      <c r="A68" s="103">
        <f ca="1">IFERROR(__xludf.DUMMYFUNCTION("""COMPUTED_VALUE"""),4)</f>
        <v>4</v>
      </c>
      <c r="B68" s="103" t="str">
        <f ca="1">IFERROR(__xludf.DUMMYFUNCTION("""COMPUTED_VALUE"""),"ACC")</f>
        <v>ACC</v>
      </c>
      <c r="C68" s="103" t="str">
        <f ca="1">IFERROR(__xludf.DUMMYFUNCTION("""COMPUTED_VALUE"""),"N")</f>
        <v>N</v>
      </c>
      <c r="D68" s="103">
        <f ca="1">IFERROR(__xludf.DUMMYFUNCTION("""COMPUTED_VALUE"""),290077835)</f>
        <v>290077835</v>
      </c>
      <c r="E68" s="103" t="str">
        <f ca="1">IFERROR(__xludf.DUMMYFUNCTION("""COMPUTED_VALUE"""),"Brown Creeper")</f>
        <v>Brown Creeper</v>
      </c>
      <c r="F68" s="103" t="str">
        <f ca="1">IFERROR(__xludf.DUMMYFUNCTION("""COMPUTED_VALUE"""),"BRCR")</f>
        <v>BRCR</v>
      </c>
      <c r="G68" s="103">
        <f ca="1">IFERROR(__xludf.DUMMYFUNCTION("""COMPUTED_VALUE"""),1)</f>
        <v>1</v>
      </c>
      <c r="H68" s="103" t="str">
        <f ca="1">IFERROR(__xludf.DUMMYFUNCTION("""COMPUTED_VALUE"""),"P")</f>
        <v>P</v>
      </c>
      <c r="I68" s="103"/>
      <c r="J68" s="103" t="str">
        <f ca="1">IFERROR(__xludf.DUMMYFUNCTION("""COMPUTED_VALUE"""),"UAJ")</f>
        <v>UAJ</v>
      </c>
      <c r="K68" s="103" t="str">
        <f ca="1">IFERROR(__xludf.DUMMYFUNCTION("""COMPUTED_VALUE"""),"M")</f>
        <v>M</v>
      </c>
      <c r="L68" s="103" t="str">
        <f ca="1">IFERROR(__xludf.DUMMYFUNCTION("""COMPUTED_VALUE"""),"C")</f>
        <v>C</v>
      </c>
      <c r="M68" s="103"/>
      <c r="N68" s="103"/>
      <c r="O68" s="103">
        <f ca="1">IFERROR(__xludf.DUMMYFUNCTION("""COMPUTED_VALUE"""),2)</f>
        <v>2</v>
      </c>
      <c r="P68" s="103">
        <f ca="1">IFERROR(__xludf.DUMMYFUNCTION("""COMPUTED_VALUE"""),0)</f>
        <v>0</v>
      </c>
      <c r="Q68" s="103">
        <f ca="1">IFERROR(__xludf.DUMMYFUNCTION("""COMPUTED_VALUE"""),1)</f>
        <v>1</v>
      </c>
      <c r="R68" s="103">
        <f ca="1">IFERROR(__xludf.DUMMYFUNCTION("""COMPUTED_VALUE"""),0)</f>
        <v>0</v>
      </c>
      <c r="S68" s="103" t="str">
        <f ca="1">IFERROR(__xludf.DUMMYFUNCTION("""COMPUTED_VALUE"""),"N")</f>
        <v>N</v>
      </c>
      <c r="T68" s="103">
        <f ca="1">IFERROR(__xludf.DUMMYFUNCTION("""COMPUTED_VALUE"""),3)</f>
        <v>3</v>
      </c>
      <c r="U68" s="103"/>
      <c r="V68" s="103"/>
      <c r="W68" s="103"/>
      <c r="X68" s="103"/>
      <c r="Y68" s="103"/>
      <c r="Z68" s="103"/>
      <c r="AA68" s="103" t="str">
        <f ca="1">IFERROR(__xludf.DUMMYFUNCTION("""COMPUTED_VALUE"""),"B")</f>
        <v>B</v>
      </c>
      <c r="AB68" s="103"/>
      <c r="AC68" s="103"/>
      <c r="AD68" s="103">
        <f ca="1">IFERROR(__xludf.DUMMYFUNCTION("""COMPUTED_VALUE"""),61)</f>
        <v>61</v>
      </c>
      <c r="AE68" s="103">
        <f ca="1">IFERROR(__xludf.DUMMYFUNCTION("""COMPUTED_VALUE"""),8.1)</f>
        <v>8.1</v>
      </c>
      <c r="AF68" s="103">
        <f ca="1">IFERROR(__xludf.DUMMYFUNCTION("""COMPUTED_VALUE"""),300)</f>
        <v>300</v>
      </c>
      <c r="AG68" s="103">
        <f ca="1">IFERROR(__xludf.DUMMYFUNCTION("""COMPUTED_VALUE"""),6)</f>
        <v>6</v>
      </c>
      <c r="AH68" s="103">
        <f ca="1">IFERROR(__xludf.DUMMYFUNCTION("""COMPUTED_VALUE"""),12)</f>
        <v>12</v>
      </c>
      <c r="AI68" s="103">
        <f ca="1">IFERROR(__xludf.DUMMYFUNCTION("""COMPUTED_VALUE"""),1140)</f>
        <v>1140</v>
      </c>
      <c r="AJ68" s="103" t="str">
        <f ca="1">IFERROR(__xludf.DUMMYFUNCTION("""COMPUTED_VALUE"""),"MORS")</f>
        <v>MORS</v>
      </c>
      <c r="AK68" s="103">
        <f ca="1">IFERROR(__xludf.DUMMYFUNCTION("""COMPUTED_VALUE"""),10)</f>
        <v>10</v>
      </c>
      <c r="AL68" s="103"/>
      <c r="AM68" s="103">
        <f ca="1">IFERROR(__xludf.DUMMYFUNCTION("""COMPUTED_VALUE"""),4)</f>
        <v>4</v>
      </c>
      <c r="AN68" s="103" t="str">
        <f ca="1">IFERROR(__xludf.DUMMYFUNCTION("""COMPUTED_VALUE"""),"Rects very worn and broken")</f>
        <v>Rects very worn and broken</v>
      </c>
      <c r="AO68" s="57" t="str">
        <f ca="1">IFERROR(__xludf.DUMMYFUNCTION("""COMPUTED_VALUE"""),"0A")</f>
        <v>0A</v>
      </c>
      <c r="AP68" s="103">
        <f ca="1">IFERROR(__xludf.DUMMYFUNCTION("""COMPUTED_VALUE"""),3)</f>
        <v>3</v>
      </c>
    </row>
    <row r="69" spans="1:42">
      <c r="A69" s="103">
        <f ca="1">IFERROR(__xludf.DUMMYFUNCTION("""COMPUTED_VALUE"""),5)</f>
        <v>5</v>
      </c>
      <c r="B69" s="103" t="str">
        <f ca="1">IFERROR(__xludf.DUMMYFUNCTION("""COMPUTED_VALUE"""),"ACC")</f>
        <v>ACC</v>
      </c>
      <c r="C69" s="103" t="str">
        <f ca="1">IFERROR(__xludf.DUMMYFUNCTION("""COMPUTED_VALUE"""),"U")</f>
        <v>U</v>
      </c>
      <c r="D69" s="103"/>
      <c r="E69" s="103" t="str">
        <f ca="1">IFERROR(__xludf.DUMMYFUNCTION("""COMPUTED_VALUE"""),"Anna's Hummingbird")</f>
        <v>Anna's Hummingbird</v>
      </c>
      <c r="F69" s="103" t="str">
        <f ca="1">IFERROR(__xludf.DUMMYFUNCTION("""COMPUTED_VALUE"""),"ANHU")</f>
        <v>ANHU</v>
      </c>
      <c r="G69" s="103">
        <f ca="1">IFERROR(__xludf.DUMMYFUNCTION("""COMPUTED_VALUE"""),2)</f>
        <v>2</v>
      </c>
      <c r="H69" s="103" t="str">
        <f ca="1">IFERROR(__xludf.DUMMYFUNCTION("""COMPUTED_VALUE"""),"I")</f>
        <v>I</v>
      </c>
      <c r="I69" s="103"/>
      <c r="J69" s="103" t="str">
        <f ca="1">IFERROR(__xludf.DUMMYFUNCTION("""COMPUTED_VALUE"""),"FCJ")</f>
        <v>FCJ</v>
      </c>
      <c r="K69" s="103" t="str">
        <f ca="1">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 ca="1">IFERROR(__xludf.DUMMYFUNCTION("""COMPUTED_VALUE"""),6)</f>
        <v>6</v>
      </c>
      <c r="AH69" s="103">
        <f ca="1">IFERROR(__xludf.DUMMYFUNCTION("""COMPUTED_VALUE"""),12)</f>
        <v>12</v>
      </c>
      <c r="AI69" s="103">
        <f ca="1">IFERROR(__xludf.DUMMYFUNCTION("""COMPUTED_VALUE"""),1140)</f>
        <v>1140</v>
      </c>
      <c r="AJ69" s="103" t="str">
        <f ca="1">IFERROR(__xludf.DUMMYFUNCTION("""COMPUTED_VALUE"""),"MORS")</f>
        <v>MORS</v>
      </c>
      <c r="AK69" s="103">
        <f ca="1">IFERROR(__xludf.DUMMYFUNCTION("""COMPUTED_VALUE"""),10)</f>
        <v>10</v>
      </c>
      <c r="AL69" s="103"/>
      <c r="AM69" s="103">
        <f ca="1">IFERROR(__xludf.DUMMYFUNCTION("""COMPUTED_VALUE"""),5)</f>
        <v>5</v>
      </c>
      <c r="AN69" s="103" t="str">
        <f ca="1">IFERROR(__xludf.DUMMYFUNCTION("""COMPUTED_VALUE"""),"Bill striations &gt; 50%")</f>
        <v>Bill striations &gt; 50%</v>
      </c>
      <c r="AO69" s="57" t="str">
        <f ca="1">IFERROR(__xludf.DUMMYFUNCTION("""COMPUTED_VALUE"""),"U")</f>
        <v>U</v>
      </c>
      <c r="AP69" s="103">
        <f ca="1">IFERROR(__xludf.DUMMYFUNCTION("""COMPUTED_VALUE"""),3)</f>
        <v>3</v>
      </c>
    </row>
    <row r="70" spans="1:42">
      <c r="A70" s="103">
        <f ca="1">IFERROR(__xludf.DUMMYFUNCTION("""COMPUTED_VALUE"""),6)</f>
        <v>6</v>
      </c>
      <c r="B70" s="103" t="str">
        <f ca="1">IFERROR(__xludf.DUMMYFUNCTION("""COMPUTED_VALUE"""),"ACC")</f>
        <v>ACC</v>
      </c>
      <c r="C70" s="103" t="str">
        <f ca="1">IFERROR(__xludf.DUMMYFUNCTION("""COMPUTED_VALUE"""),"U")</f>
        <v>U</v>
      </c>
      <c r="D70" s="103"/>
      <c r="E70" s="103" t="str">
        <f ca="1">IFERROR(__xludf.DUMMYFUNCTION("""COMPUTED_VALUE"""),"Rufus Hummingbird")</f>
        <v>Rufus Hummingbird</v>
      </c>
      <c r="F70" s="103" t="str">
        <f ca="1">IFERROR(__xludf.DUMMYFUNCTION("""COMPUTED_VALUE"""),"RUHU")</f>
        <v>RUHU</v>
      </c>
      <c r="G70" s="103">
        <f ca="1">IFERROR(__xludf.DUMMYFUNCTION("""COMPUTED_VALUE"""),2)</f>
        <v>2</v>
      </c>
      <c r="H70" s="103" t="str">
        <f ca="1">IFERROR(__xludf.DUMMYFUNCTION("""COMPUTED_VALUE"""),"I")</f>
        <v>I</v>
      </c>
      <c r="I70" s="103"/>
      <c r="J70" s="103" t="str">
        <f ca="1">IFERROR(__xludf.DUMMYFUNCTION("""COMPUTED_VALUE"""),"FCJ")</f>
        <v>FCJ</v>
      </c>
      <c r="K70" s="103" t="str">
        <f ca="1">IFERROR(__xludf.DUMMYFUNCTION("""COMPUTED_VALUE"""),"F")</f>
        <v>F</v>
      </c>
      <c r="L70" s="103" t="str">
        <f ca="1">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 ca="1">IFERROR(__xludf.DUMMYFUNCTION("""COMPUTED_VALUE"""),6)</f>
        <v>6</v>
      </c>
      <c r="AH70" s="103">
        <f ca="1">IFERROR(__xludf.DUMMYFUNCTION("""COMPUTED_VALUE"""),12)</f>
        <v>12</v>
      </c>
      <c r="AI70" s="103">
        <f ca="1">IFERROR(__xludf.DUMMYFUNCTION("""COMPUTED_VALUE"""),1140)</f>
        <v>1140</v>
      </c>
      <c r="AJ70" s="103" t="str">
        <f ca="1">IFERROR(__xludf.DUMMYFUNCTION("""COMPUTED_VALUE"""),"MORS")</f>
        <v>MORS</v>
      </c>
      <c r="AK70" s="103">
        <f ca="1">IFERROR(__xludf.DUMMYFUNCTION("""COMPUTED_VALUE"""),6)</f>
        <v>6</v>
      </c>
      <c r="AL70" s="103"/>
      <c r="AM70" s="103">
        <f ca="1">IFERROR(__xludf.DUMMYFUNCTION("""COMPUTED_VALUE"""),6)</f>
        <v>6</v>
      </c>
      <c r="AN70" s="103" t="str">
        <f ca="1">IFERROR(__xludf.DUMMYFUNCTION("""COMPUTED_VALUE"""),"Bill striations &gt; 50%")</f>
        <v>Bill striations &gt; 50%</v>
      </c>
      <c r="AO70" s="57" t="str">
        <f ca="1">IFERROR(__xludf.DUMMYFUNCTION("""COMPUTED_VALUE"""),"U")</f>
        <v>U</v>
      </c>
      <c r="AP70" s="103">
        <f ca="1">IFERROR(__xludf.DUMMYFUNCTION("""COMPUTED_VALUE"""),3)</f>
        <v>3</v>
      </c>
    </row>
    <row r="71" spans="1:42">
      <c r="A71" s="103">
        <f ca="1">IFERROR(__xludf.DUMMYFUNCTION("""COMPUTED_VALUE"""),1)</f>
        <v>1</v>
      </c>
      <c r="B71" s="103" t="str">
        <f ca="1">IFERROR(__xludf.DUMMYFUNCTION("""COMPUTED_VALUE"""),"JHT")</f>
        <v>JHT</v>
      </c>
      <c r="C71" s="103" t="str">
        <f ca="1">IFERROR(__xludf.DUMMYFUNCTION("""COMPUTED_VALUE"""),"N")</f>
        <v>N</v>
      </c>
      <c r="D71" s="103">
        <f ca="1">IFERROR(__xludf.DUMMYFUNCTION("""COMPUTED_VALUE"""),290077830)</f>
        <v>290077830</v>
      </c>
      <c r="E71" s="103" t="str">
        <f ca="1">IFERROR(__xludf.DUMMYFUNCTION("""COMPUTED_VALUE"""),"Golden-crowned Kinglet")</f>
        <v>Golden-crowned Kinglet</v>
      </c>
      <c r="F71" s="103" t="str">
        <f ca="1">IFERROR(__xludf.DUMMYFUNCTION("""COMPUTED_VALUE"""),"GCKI")</f>
        <v>GCKI</v>
      </c>
      <c r="G71" s="103">
        <f ca="1">IFERROR(__xludf.DUMMYFUNCTION("""COMPUTED_VALUE"""),1)</f>
        <v>1</v>
      </c>
      <c r="H71" s="103" t="str">
        <f ca="1">IFERROR(__xludf.DUMMYFUNCTION("""COMPUTED_VALUE"""),"S")</f>
        <v>S</v>
      </c>
      <c r="I71" s="103" t="str">
        <f ca="1">IFERROR(__xludf.DUMMYFUNCTION("""COMPUTED_VALUE"""),"C")</f>
        <v>C</v>
      </c>
      <c r="J71" s="103" t="str">
        <f ca="1">IFERROR(__xludf.DUMMYFUNCTION("""COMPUTED_VALUE"""),"UAJ")</f>
        <v>UAJ</v>
      </c>
      <c r="K71" s="103" t="str">
        <f ca="1">IFERROR(__xludf.DUMMYFUNCTION("""COMPUTED_VALUE"""),"M")</f>
        <v>M</v>
      </c>
      <c r="L71" s="103" t="str">
        <f ca="1">IFERROR(__xludf.DUMMYFUNCTION("""COMPUTED_VALUE"""),"C")</f>
        <v>C</v>
      </c>
      <c r="M71" s="103" t="str">
        <f ca="1">IFERROR(__xludf.DUMMYFUNCTION("""COMPUTED_VALUE"""),"P")</f>
        <v>P</v>
      </c>
      <c r="N71" s="103">
        <f ca="1">IFERROR(__xludf.DUMMYFUNCTION("""COMPUTED_VALUE"""),6)</f>
        <v>6</v>
      </c>
      <c r="O71" s="103">
        <f ca="1">IFERROR(__xludf.DUMMYFUNCTION("""COMPUTED_VALUE"""),3)</f>
        <v>3</v>
      </c>
      <c r="P71" s="103">
        <f ca="1">IFERROR(__xludf.DUMMYFUNCTION("""COMPUTED_VALUE"""),0)</f>
        <v>0</v>
      </c>
      <c r="Q71" s="103">
        <f ca="1">IFERROR(__xludf.DUMMYFUNCTION("""COMPUTED_VALUE"""),1)</f>
        <v>1</v>
      </c>
      <c r="R71" s="103">
        <f ca="1">IFERROR(__xludf.DUMMYFUNCTION("""COMPUTED_VALUE"""),0)</f>
        <v>0</v>
      </c>
      <c r="S71" s="103" t="str">
        <f ca="1">IFERROR(__xludf.DUMMYFUNCTION("""COMPUTED_VALUE"""),"N")</f>
        <v>N</v>
      </c>
      <c r="T71" s="103">
        <f ca="1">IFERROR(__xludf.DUMMYFUNCTION("""COMPUTED_VALUE"""),4)</f>
        <v>4</v>
      </c>
      <c r="U71" s="103"/>
      <c r="V71" s="103"/>
      <c r="W71" s="103"/>
      <c r="X71" s="103"/>
      <c r="Y71" s="103"/>
      <c r="Z71" s="103"/>
      <c r="AA71" s="103"/>
      <c r="AB71" s="103"/>
      <c r="AC71" s="103"/>
      <c r="AD71" s="103">
        <f ca="1">IFERROR(__xludf.DUMMYFUNCTION("""COMPUTED_VALUE"""),55)</f>
        <v>55</v>
      </c>
      <c r="AE71" s="103">
        <f ca="1">IFERROR(__xludf.DUMMYFUNCTION("""COMPUTED_VALUE"""),5.6)</f>
        <v>5.6</v>
      </c>
      <c r="AF71" s="103">
        <f ca="1">IFERROR(__xludf.DUMMYFUNCTION("""COMPUTED_VALUE"""),300)</f>
        <v>300</v>
      </c>
      <c r="AG71" s="103">
        <f ca="1">IFERROR(__xludf.DUMMYFUNCTION("""COMPUTED_VALUE"""),6)</f>
        <v>6</v>
      </c>
      <c r="AH71" s="103">
        <f ca="1">IFERROR(__xludf.DUMMYFUNCTION("""COMPUTED_VALUE"""),12)</f>
        <v>12</v>
      </c>
      <c r="AI71" s="103">
        <f ca="1">IFERROR(__xludf.DUMMYFUNCTION("""COMPUTED_VALUE"""),640)</f>
        <v>640</v>
      </c>
      <c r="AJ71" s="103" t="str">
        <f ca="1">IFERROR(__xludf.DUMMYFUNCTION("""COMPUTED_VALUE"""),"MORS")</f>
        <v>MORS</v>
      </c>
      <c r="AK71" s="103">
        <f ca="1">IFERROR(__xludf.DUMMYFUNCTION("""COMPUTED_VALUE"""),7)</f>
        <v>7</v>
      </c>
      <c r="AL71" s="103"/>
      <c r="AM71" s="103"/>
      <c r="AN71" s="103"/>
      <c r="AO71" s="57" t="str">
        <f ca="1">IFERROR(__xludf.DUMMYFUNCTION("""COMPUTED_VALUE"""),"0A")</f>
        <v>0A</v>
      </c>
      <c r="AP71" s="103">
        <f ca="1">IFERROR(__xludf.DUMMYFUNCTION("""COMPUTED_VALUE"""),4)</f>
        <v>4</v>
      </c>
    </row>
    <row r="72" spans="1:42">
      <c r="A72" s="103">
        <f ca="1">IFERROR(__xludf.DUMMYFUNCTION("""COMPUTED_VALUE"""),2)</f>
        <v>2</v>
      </c>
      <c r="B72" s="103" t="str">
        <f ca="1">IFERROR(__xludf.DUMMYFUNCTION("""COMPUTED_VALUE"""),"JHT")</f>
        <v>JHT</v>
      </c>
      <c r="C72" s="103" t="str">
        <f ca="1">IFERROR(__xludf.DUMMYFUNCTION("""COMPUTED_VALUE"""),"N")</f>
        <v>N</v>
      </c>
      <c r="D72" s="103">
        <f ca="1">IFERROR(__xludf.DUMMYFUNCTION("""COMPUTED_VALUE"""),172176235)</f>
        <v>172176235</v>
      </c>
      <c r="E72" s="103" t="str">
        <f ca="1">IFERROR(__xludf.DUMMYFUNCTION("""COMPUTED_VALUE"""),"Swainson's Thrush")</f>
        <v>Swainson's Thrush</v>
      </c>
      <c r="F72" s="103" t="str">
        <f ca="1">IFERROR(__xludf.DUMMYFUNCTION("""COMPUTED_VALUE"""),"SWTH")</f>
        <v>SWTH</v>
      </c>
      <c r="G72" s="103">
        <f ca="1">IFERROR(__xludf.DUMMYFUNCTION("""COMPUTED_VALUE"""),1)</f>
        <v>1</v>
      </c>
      <c r="H72" s="103" t="str">
        <f ca="1">IFERROR(__xludf.DUMMYFUNCTION("""COMPUTED_VALUE"""),"S")</f>
        <v>S</v>
      </c>
      <c r="I72" s="103" t="str">
        <f ca="1">IFERROR(__xludf.DUMMYFUNCTION("""COMPUTED_VALUE"""),"C")</f>
        <v>C</v>
      </c>
      <c r="J72" s="103" t="str">
        <f ca="1">IFERROR(__xludf.DUMMYFUNCTION("""COMPUTED_VALUE"""),"UAJ")</f>
        <v>UAJ</v>
      </c>
      <c r="K72" s="103" t="str">
        <f ca="1">IFERROR(__xludf.DUMMYFUNCTION("""COMPUTED_VALUE"""),"M")</f>
        <v>M</v>
      </c>
      <c r="L72" s="103" t="str">
        <f ca="1">IFERROR(__xludf.DUMMYFUNCTION("""COMPUTED_VALUE"""),"C")</f>
        <v>C</v>
      </c>
      <c r="M72" s="103" t="str">
        <f ca="1">IFERROR(__xludf.DUMMYFUNCTION("""COMPUTED_VALUE"""),"P")</f>
        <v>P</v>
      </c>
      <c r="N72" s="103">
        <f ca="1">IFERROR(__xludf.DUMMYFUNCTION("""COMPUTED_VALUE"""),5)</f>
        <v>5</v>
      </c>
      <c r="O72" s="103">
        <f ca="1">IFERROR(__xludf.DUMMYFUNCTION("""COMPUTED_VALUE"""),3)</f>
        <v>3</v>
      </c>
      <c r="P72" s="103">
        <f ca="1">IFERROR(__xludf.DUMMYFUNCTION("""COMPUTED_VALUE"""),0)</f>
        <v>0</v>
      </c>
      <c r="Q72" s="103">
        <f ca="1">IFERROR(__xludf.DUMMYFUNCTION("""COMPUTED_VALUE"""),0)</f>
        <v>0</v>
      </c>
      <c r="R72" s="103">
        <f ca="1">IFERROR(__xludf.DUMMYFUNCTION("""COMPUTED_VALUE"""),0)</f>
        <v>0</v>
      </c>
      <c r="S72" s="103" t="str">
        <f ca="1">IFERROR(__xludf.DUMMYFUNCTION("""COMPUTED_VALUE"""),"N")</f>
        <v>N</v>
      </c>
      <c r="T72" s="103">
        <f ca="1">IFERROR(__xludf.DUMMYFUNCTION("""COMPUTED_VALUE"""),3)</f>
        <v>3</v>
      </c>
      <c r="U72" s="103"/>
      <c r="V72" s="103"/>
      <c r="W72" s="103"/>
      <c r="X72" s="103"/>
      <c r="Y72" s="103"/>
      <c r="Z72" s="103"/>
      <c r="AA72" s="103"/>
      <c r="AB72" s="103"/>
      <c r="AC72" s="103"/>
      <c r="AD72" s="103">
        <f ca="1">IFERROR(__xludf.DUMMYFUNCTION("""COMPUTED_VALUE"""),92)</f>
        <v>92</v>
      </c>
      <c r="AE72" s="103">
        <f ca="1">IFERROR(__xludf.DUMMYFUNCTION("""COMPUTED_VALUE"""),28.6)</f>
        <v>28.6</v>
      </c>
      <c r="AF72" s="103">
        <f ca="1">IFERROR(__xludf.DUMMYFUNCTION("""COMPUTED_VALUE"""),300)</f>
        <v>300</v>
      </c>
      <c r="AG72" s="103">
        <f ca="1">IFERROR(__xludf.DUMMYFUNCTION("""COMPUTED_VALUE"""),6)</f>
        <v>6</v>
      </c>
      <c r="AH72" s="103">
        <f ca="1">IFERROR(__xludf.DUMMYFUNCTION("""COMPUTED_VALUE"""),12)</f>
        <v>12</v>
      </c>
      <c r="AI72" s="103">
        <f ca="1">IFERROR(__xludf.DUMMYFUNCTION("""COMPUTED_VALUE"""),740)</f>
        <v>740</v>
      </c>
      <c r="AJ72" s="103" t="str">
        <f ca="1">IFERROR(__xludf.DUMMYFUNCTION("""COMPUTED_VALUE"""),"MORS")</f>
        <v>MORS</v>
      </c>
      <c r="AK72" s="103">
        <f ca="1">IFERROR(__xludf.DUMMYFUNCTION("""COMPUTED_VALUE"""),20)</f>
        <v>20</v>
      </c>
      <c r="AL72" s="103"/>
      <c r="AM72" s="103"/>
      <c r="AN72" s="103"/>
      <c r="AO72" s="57" t="str">
        <f ca="1">IFERROR(__xludf.DUMMYFUNCTION("""COMPUTED_VALUE"""),"1B")</f>
        <v>1B</v>
      </c>
      <c r="AP72" s="103">
        <f ca="1">IFERROR(__xludf.DUMMYFUNCTION("""COMPUTED_VALUE"""),4)</f>
        <v>4</v>
      </c>
    </row>
    <row r="73" spans="1:42">
      <c r="A73" s="103">
        <f ca="1">IFERROR(__xludf.DUMMYFUNCTION("""COMPUTED_VALUE"""),3)</f>
        <v>3</v>
      </c>
      <c r="B73" s="103" t="str">
        <f ca="1">IFERROR(__xludf.DUMMYFUNCTION("""COMPUTED_VALUE"""),"JHT")</f>
        <v>JHT</v>
      </c>
      <c r="C73" s="103" t="str">
        <f ca="1">IFERROR(__xludf.DUMMYFUNCTION("""COMPUTED_VALUE"""),"N")</f>
        <v>N</v>
      </c>
      <c r="D73" s="103">
        <f ca="1">IFERROR(__xludf.DUMMYFUNCTION("""COMPUTED_VALUE"""),172176236)</f>
        <v>172176236</v>
      </c>
      <c r="E73" s="103" t="str">
        <f ca="1">IFERROR(__xludf.DUMMYFUNCTION("""COMPUTED_VALUE"""),"Cedar Waxwing")</f>
        <v>Cedar Waxwing</v>
      </c>
      <c r="F73" s="103" t="str">
        <f ca="1">IFERROR(__xludf.DUMMYFUNCTION("""COMPUTED_VALUE"""),"CEDW")</f>
        <v>CEDW</v>
      </c>
      <c r="G73" s="103">
        <f ca="1">IFERROR(__xludf.DUMMYFUNCTION("""COMPUTED_VALUE"""),5)</f>
        <v>5</v>
      </c>
      <c r="H73" s="103" t="str">
        <f ca="1">IFERROR(__xludf.DUMMYFUNCTION("""COMPUTED_VALUE"""),"P")</f>
        <v>P</v>
      </c>
      <c r="I73" s="103"/>
      <c r="J73" s="103" t="str">
        <f ca="1">IFERROR(__xludf.DUMMYFUNCTION("""COMPUTED_VALUE"""),"FCF")</f>
        <v>FCF</v>
      </c>
      <c r="K73" s="103" t="str">
        <f ca="1">IFERROR(__xludf.DUMMYFUNCTION("""COMPUTED_VALUE"""),"M")</f>
        <v>M</v>
      </c>
      <c r="L73" s="103" t="str">
        <f ca="1">IFERROR(__xludf.DUMMYFUNCTION("""COMPUTED_VALUE"""),"C")</f>
        <v>C</v>
      </c>
      <c r="M73" s="103" t="str">
        <f ca="1">IFERROR(__xludf.DUMMYFUNCTION("""COMPUTED_VALUE"""),"P")</f>
        <v>P</v>
      </c>
      <c r="N73" s="103">
        <f ca="1">IFERROR(__xludf.DUMMYFUNCTION("""COMPUTED_VALUE"""),6)</f>
        <v>6</v>
      </c>
      <c r="O73" s="103">
        <f ca="1">IFERROR(__xludf.DUMMYFUNCTION("""COMPUTED_VALUE"""),3)</f>
        <v>3</v>
      </c>
      <c r="P73" s="103">
        <f ca="1">IFERROR(__xludf.DUMMYFUNCTION("""COMPUTED_VALUE"""),0)</f>
        <v>0</v>
      </c>
      <c r="Q73" s="103">
        <f ca="1">IFERROR(__xludf.DUMMYFUNCTION("""COMPUTED_VALUE"""),0)</f>
        <v>0</v>
      </c>
      <c r="R73" s="103">
        <f ca="1">IFERROR(__xludf.DUMMYFUNCTION("""COMPUTED_VALUE"""),0)</f>
        <v>0</v>
      </c>
      <c r="S73" s="103" t="str">
        <f ca="1">IFERROR(__xludf.DUMMYFUNCTION("""COMPUTED_VALUE"""),"N")</f>
        <v>N</v>
      </c>
      <c r="T73" s="103">
        <f ca="1">IFERROR(__xludf.DUMMYFUNCTION("""COMPUTED_VALUE"""),1)</f>
        <v>1</v>
      </c>
      <c r="U73" s="103"/>
      <c r="V73" s="103"/>
      <c r="W73" s="103"/>
      <c r="X73" s="103"/>
      <c r="Y73" s="103"/>
      <c r="Z73" s="103"/>
      <c r="AA73" s="103"/>
      <c r="AB73" s="103"/>
      <c r="AC73" s="103"/>
      <c r="AD73" s="103">
        <f ca="1">IFERROR(__xludf.DUMMYFUNCTION("""COMPUTED_VALUE"""),87)</f>
        <v>87</v>
      </c>
      <c r="AE73" s="103">
        <f ca="1">IFERROR(__xludf.DUMMYFUNCTION("""COMPUTED_VALUE"""),26.3)</f>
        <v>26.3</v>
      </c>
      <c r="AF73" s="103">
        <f ca="1">IFERROR(__xludf.DUMMYFUNCTION("""COMPUTED_VALUE"""),300)</f>
        <v>300</v>
      </c>
      <c r="AG73" s="103">
        <f ca="1">IFERROR(__xludf.DUMMYFUNCTION("""COMPUTED_VALUE"""),6)</f>
        <v>6</v>
      </c>
      <c r="AH73" s="103">
        <f ca="1">IFERROR(__xludf.DUMMYFUNCTION("""COMPUTED_VALUE"""),12)</f>
        <v>12</v>
      </c>
      <c r="AI73" s="103">
        <f ca="1">IFERROR(__xludf.DUMMYFUNCTION("""COMPUTED_VALUE"""),840)</f>
        <v>840</v>
      </c>
      <c r="AJ73" s="103" t="str">
        <f ca="1">IFERROR(__xludf.DUMMYFUNCTION("""COMPUTED_VALUE"""),"MORS")</f>
        <v>MORS</v>
      </c>
      <c r="AK73" s="103">
        <f ca="1">IFERROR(__xludf.DUMMYFUNCTION("""COMPUTED_VALUE"""),21)</f>
        <v>21</v>
      </c>
      <c r="AL73" s="103"/>
      <c r="AM73" s="103">
        <f ca="1">IFERROR(__xludf.DUMMYFUNCTION("""COMPUTED_VALUE"""),1)</f>
        <v>1</v>
      </c>
      <c r="AN73" s="103" t="str">
        <f ca="1">IFERROR(__xludf.DUMMYFUNCTION("""COMPUTED_VALUE"""),"RR6 5.4mm, RR5 6.4mm, RR4 6.6mm. Male throat patch. No waxy red appendages on wings.")</f>
        <v>RR6 5.4mm, RR5 6.4mm, RR4 6.6mm. Male throat patch. No waxy red appendages on wings.</v>
      </c>
      <c r="AO73" s="57" t="str">
        <f ca="1">IFERROR(__xludf.DUMMYFUNCTION("""COMPUTED_VALUE"""),"1B")</f>
        <v>1B</v>
      </c>
      <c r="AP73" s="103">
        <f ca="1">IFERROR(__xludf.DUMMYFUNCTION("""COMPUTED_VALUE"""),4)</f>
        <v>4</v>
      </c>
    </row>
    <row r="74" spans="1:42">
      <c r="A74" s="103">
        <f ca="1">IFERROR(__xludf.DUMMYFUNCTION("""COMPUTED_VALUE"""),4)</f>
        <v>4</v>
      </c>
      <c r="B74" s="103" t="str">
        <f ca="1">IFERROR(__xludf.DUMMYFUNCTION("""COMPUTED_VALUE"""),"JHT")</f>
        <v>JHT</v>
      </c>
      <c r="C74" s="103" t="str">
        <f ca="1">IFERROR(__xludf.DUMMYFUNCTION("""COMPUTED_VALUE"""),"N")</f>
        <v>N</v>
      </c>
      <c r="D74" s="103">
        <f ca="1">IFERROR(__xludf.DUMMYFUNCTION("""COMPUTED_VALUE"""),281191227)</f>
        <v>281191227</v>
      </c>
      <c r="E74" s="103" t="str">
        <f ca="1">IFERROR(__xludf.DUMMYFUNCTION("""COMPUTED_VALUE"""),"Oregon Junco")</f>
        <v>Oregon Junco</v>
      </c>
      <c r="F74" s="103" t="str">
        <f ca="1">IFERROR(__xludf.DUMMYFUNCTION("""COMPUTED_VALUE"""),"ORJU")</f>
        <v>ORJU</v>
      </c>
      <c r="G74" s="103">
        <f ca="1">IFERROR(__xludf.DUMMYFUNCTION("""COMPUTED_VALUE"""),1)</f>
        <v>1</v>
      </c>
      <c r="H74" s="103" t="str">
        <f ca="1">IFERROR(__xludf.DUMMYFUNCTION("""COMPUTED_VALUE"""),"S")</f>
        <v>S</v>
      </c>
      <c r="I74" s="103" t="str">
        <f ca="1">IFERROR(__xludf.DUMMYFUNCTION("""COMPUTED_VALUE"""),"B")</f>
        <v>B</v>
      </c>
      <c r="J74" s="103" t="str">
        <f ca="1">IFERROR(__xludf.DUMMYFUNCTION("""COMPUTED_VALUE"""),"UAJ")</f>
        <v>UAJ</v>
      </c>
      <c r="K74" s="103" t="str">
        <f ca="1">IFERROR(__xludf.DUMMYFUNCTION("""COMPUTED_VALUE"""),"F")</f>
        <v>F</v>
      </c>
      <c r="L74" s="103" t="str">
        <f ca="1">IFERROR(__xludf.DUMMYFUNCTION("""COMPUTED_VALUE"""),"B")</f>
        <v>B</v>
      </c>
      <c r="M74" s="103" t="str">
        <f ca="1">IFERROR(__xludf.DUMMYFUNCTION("""COMPUTED_VALUE"""),"P")</f>
        <v>P</v>
      </c>
      <c r="N74" s="103">
        <f ca="1">IFERROR(__xludf.DUMMYFUNCTION("""COMPUTED_VALUE"""),5)</f>
        <v>5</v>
      </c>
      <c r="O74" s="103">
        <f ca="1">IFERROR(__xludf.DUMMYFUNCTION("""COMPUTED_VALUE"""),0)</f>
        <v>0</v>
      </c>
      <c r="P74" s="103">
        <f ca="1">IFERROR(__xludf.DUMMYFUNCTION("""COMPUTED_VALUE"""),4)</f>
        <v>4</v>
      </c>
      <c r="Q74" s="103">
        <f ca="1">IFERROR(__xludf.DUMMYFUNCTION("""COMPUTED_VALUE"""),0)</f>
        <v>0</v>
      </c>
      <c r="R74" s="103">
        <f ca="1">IFERROR(__xludf.DUMMYFUNCTION("""COMPUTED_VALUE"""),0)</f>
        <v>0</v>
      </c>
      <c r="S74" s="103" t="str">
        <f ca="1">IFERROR(__xludf.DUMMYFUNCTION("""COMPUTED_VALUE"""),"N")</f>
        <v>N</v>
      </c>
      <c r="T74" s="103">
        <f ca="1">IFERROR(__xludf.DUMMYFUNCTION("""COMPUTED_VALUE"""),2)</f>
        <v>2</v>
      </c>
      <c r="U74" s="103"/>
      <c r="V74" s="103"/>
      <c r="W74" s="103"/>
      <c r="X74" s="103"/>
      <c r="Y74" s="103"/>
      <c r="Z74" s="103"/>
      <c r="AA74" s="103"/>
      <c r="AB74" s="103"/>
      <c r="AC74" s="103"/>
      <c r="AD74" s="103">
        <f ca="1">IFERROR(__xludf.DUMMYFUNCTION("""COMPUTED_VALUE"""),71)</f>
        <v>71</v>
      </c>
      <c r="AE74" s="103">
        <f ca="1">IFERROR(__xludf.DUMMYFUNCTION("""COMPUTED_VALUE"""),17)</f>
        <v>17</v>
      </c>
      <c r="AF74" s="103">
        <f ca="1">IFERROR(__xludf.DUMMYFUNCTION("""COMPUTED_VALUE"""),300)</f>
        <v>300</v>
      </c>
      <c r="AG74" s="103">
        <f ca="1">IFERROR(__xludf.DUMMYFUNCTION("""COMPUTED_VALUE"""),6)</f>
        <v>6</v>
      </c>
      <c r="AH74" s="103">
        <f ca="1">IFERROR(__xludf.DUMMYFUNCTION("""COMPUTED_VALUE"""),12)</f>
        <v>12</v>
      </c>
      <c r="AI74" s="103">
        <f ca="1">IFERROR(__xludf.DUMMYFUNCTION("""COMPUTED_VALUE"""),920)</f>
        <v>920</v>
      </c>
      <c r="AJ74" s="103" t="str">
        <f ca="1">IFERROR(__xludf.DUMMYFUNCTION("""COMPUTED_VALUE"""),"MORS")</f>
        <v>MORS</v>
      </c>
      <c r="AK74" s="103">
        <f ca="1">IFERROR(__xludf.DUMMYFUNCTION("""COMPUTED_VALUE"""),10)</f>
        <v>10</v>
      </c>
      <c r="AL74" s="103"/>
      <c r="AM74" s="103">
        <f ca="1">IFERROR(__xludf.DUMMYFUNCTION("""COMPUTED_VALUE"""),2)</f>
        <v>2</v>
      </c>
      <c r="AN74" s="103" t="str">
        <f ca="1">IFERROR(__xludf.DUMMYFUNCTION("""COMPUTED_VALUE"""),"R4 30% white. Probable SY")</f>
        <v>R4 30% white. Probable SY</v>
      </c>
      <c r="AO74" s="57">
        <f ca="1">IFERROR(__xludf.DUMMYFUNCTION("""COMPUTED_VALUE"""),1)</f>
        <v>1</v>
      </c>
      <c r="AP74" s="103">
        <f ca="1">IFERROR(__xludf.DUMMYFUNCTION("""COMPUTED_VALUE"""),4)</f>
        <v>4</v>
      </c>
    </row>
    <row r="75" spans="1:42">
      <c r="A75" s="103">
        <f ca="1">IFERROR(__xludf.DUMMYFUNCTION("""COMPUTED_VALUE"""),5)</f>
        <v>5</v>
      </c>
      <c r="B75" s="103" t="str">
        <f ca="1">IFERROR(__xludf.DUMMYFUNCTION("""COMPUTED_VALUE"""),"JHT")</f>
        <v>JHT</v>
      </c>
      <c r="C75" s="103" t="str">
        <f ca="1">IFERROR(__xludf.DUMMYFUNCTION("""COMPUTED_VALUE"""),"N")</f>
        <v>N</v>
      </c>
      <c r="D75" s="103">
        <f ca="1">IFERROR(__xludf.DUMMYFUNCTION("""COMPUTED_VALUE"""),135291870)</f>
        <v>135291870</v>
      </c>
      <c r="E75" s="103" t="str">
        <f ca="1">IFERROR(__xludf.DUMMYFUNCTION("""COMPUTED_VALUE"""),"Spotted Towhee")</f>
        <v>Spotted Towhee</v>
      </c>
      <c r="F75" s="103" t="str">
        <f ca="1">IFERROR(__xludf.DUMMYFUNCTION("""COMPUTED_VALUE"""),"SPTO")</f>
        <v>SPTO</v>
      </c>
      <c r="G75" s="103">
        <f ca="1">IFERROR(__xludf.DUMMYFUNCTION("""COMPUTED_VALUE"""),5)</f>
        <v>5</v>
      </c>
      <c r="H75" s="103" t="str">
        <f ca="1">IFERROR(__xludf.DUMMYFUNCTION("""COMPUTED_VALUE"""),"C")</f>
        <v>C</v>
      </c>
      <c r="I75" s="103" t="str">
        <f ca="1">IFERROR(__xludf.DUMMYFUNCTION("""COMPUTED_VALUE"""),"P")</f>
        <v>P</v>
      </c>
      <c r="J75" s="103" t="str">
        <f ca="1">IFERROR(__xludf.DUMMYFUNCTION("""COMPUTED_VALUE"""),"FCF")</f>
        <v>FCF</v>
      </c>
      <c r="K75" s="103" t="str">
        <f ca="1">IFERROR(__xludf.DUMMYFUNCTION("""COMPUTED_VALUE"""),"M")</f>
        <v>M</v>
      </c>
      <c r="L75" s="103" t="str">
        <f ca="1">IFERROR(__xludf.DUMMYFUNCTION("""COMPUTED_VALUE"""),"C")</f>
        <v>C</v>
      </c>
      <c r="M75" s="103" t="str">
        <f ca="1">IFERROR(__xludf.DUMMYFUNCTION("""COMPUTED_VALUE"""),"P")</f>
        <v>P</v>
      </c>
      <c r="N75" s="103">
        <f ca="1">IFERROR(__xludf.DUMMYFUNCTION("""COMPUTED_VALUE"""),5)</f>
        <v>5</v>
      </c>
      <c r="O75" s="103">
        <f ca="1">IFERROR(__xludf.DUMMYFUNCTION("""COMPUTED_VALUE"""),3)</f>
        <v>3</v>
      </c>
      <c r="P75" s="103">
        <f ca="1">IFERROR(__xludf.DUMMYFUNCTION("""COMPUTED_VALUE"""),0)</f>
        <v>0</v>
      </c>
      <c r="Q75" s="103">
        <f ca="1">IFERROR(__xludf.DUMMYFUNCTION("""COMPUTED_VALUE"""),0)</f>
        <v>0</v>
      </c>
      <c r="R75" s="103">
        <f ca="1">IFERROR(__xludf.DUMMYFUNCTION("""COMPUTED_VALUE"""),0)</f>
        <v>0</v>
      </c>
      <c r="S75" s="103" t="str">
        <f ca="1">IFERROR(__xludf.DUMMYFUNCTION("""COMPUTED_VALUE"""),"N")</f>
        <v>N</v>
      </c>
      <c r="T75" s="103">
        <f ca="1">IFERROR(__xludf.DUMMYFUNCTION("""COMPUTED_VALUE"""),3)</f>
        <v>3</v>
      </c>
      <c r="U75" s="103"/>
      <c r="V75" s="103" t="str">
        <f ca="1">IFERROR(__xludf.DUMMYFUNCTION("""COMPUTED_VALUE"""),"J")</f>
        <v>J</v>
      </c>
      <c r="W75" s="103"/>
      <c r="X75" s="103"/>
      <c r="Y75" s="103"/>
      <c r="Z75" s="103"/>
      <c r="AA75" s="103"/>
      <c r="AB75" s="103"/>
      <c r="AC75" s="103"/>
      <c r="AD75" s="103">
        <f ca="1">IFERROR(__xludf.DUMMYFUNCTION("""COMPUTED_VALUE"""),80)</f>
        <v>80</v>
      </c>
      <c r="AE75" s="103">
        <f ca="1">IFERROR(__xludf.DUMMYFUNCTION("""COMPUTED_VALUE"""),39)</f>
        <v>39</v>
      </c>
      <c r="AF75" s="103">
        <f ca="1">IFERROR(__xludf.DUMMYFUNCTION("""COMPUTED_VALUE"""),300)</f>
        <v>300</v>
      </c>
      <c r="AG75" s="103">
        <f ca="1">IFERROR(__xludf.DUMMYFUNCTION("""COMPUTED_VALUE"""),6)</f>
        <v>6</v>
      </c>
      <c r="AH75" s="103">
        <f ca="1">IFERROR(__xludf.DUMMYFUNCTION("""COMPUTED_VALUE"""),12)</f>
        <v>12</v>
      </c>
      <c r="AI75" s="103">
        <f ca="1">IFERROR(__xludf.DUMMYFUNCTION("""COMPUTED_VALUE"""),10)</f>
        <v>10</v>
      </c>
      <c r="AJ75" s="103" t="str">
        <f ca="1">IFERROR(__xludf.DUMMYFUNCTION("""COMPUTED_VALUE"""),"MORS")</f>
        <v>MORS</v>
      </c>
      <c r="AK75" s="103">
        <f ca="1">IFERROR(__xludf.DUMMYFUNCTION("""COMPUTED_VALUE"""),5)</f>
        <v>5</v>
      </c>
      <c r="AL75" s="103"/>
      <c r="AM75" s="103">
        <f ca="1">IFERROR(__xludf.DUMMYFUNCTION("""COMPUTED_VALUE"""),3)</f>
        <v>3</v>
      </c>
      <c r="AN75" s="103" t="str">
        <f ca="1">IFERROR(__xludf.DUMMYFUNCTION("""COMPUTED_VALUE"""),"Orange-red eye color. RR6 18.5mm, RR5 10.5 RR4 no white")</f>
        <v>Orange-red eye color. RR6 18.5mm, RR5 10.5 RR4 no white</v>
      </c>
      <c r="AO75" s="57">
        <f ca="1">IFERROR(__xludf.DUMMYFUNCTION("""COMPUTED_VALUE"""),2)</f>
        <v>2</v>
      </c>
      <c r="AP75" s="103">
        <f ca="1">IFERROR(__xludf.DUMMYFUNCTION("""COMPUTED_VALUE"""),4)</f>
        <v>4</v>
      </c>
    </row>
    <row r="76" spans="1:42">
      <c r="A76" s="103">
        <f ca="1">IFERROR(__xludf.DUMMYFUNCTION("""COMPUTED_VALUE"""),6)</f>
        <v>6</v>
      </c>
      <c r="B76" s="103" t="str">
        <f ca="1">IFERROR(__xludf.DUMMYFUNCTION("""COMPUTED_VALUE"""),"JHT")</f>
        <v>JHT</v>
      </c>
      <c r="C76" s="103" t="str">
        <f ca="1">IFERROR(__xludf.DUMMYFUNCTION("""COMPUTED_VALUE"""),"N")</f>
        <v>N</v>
      </c>
      <c r="D76" s="103">
        <f ca="1">IFERROR(__xludf.DUMMYFUNCTION("""COMPUTED_VALUE"""),288029941)</f>
        <v>288029941</v>
      </c>
      <c r="E76" s="103" t="str">
        <f ca="1">IFERROR(__xludf.DUMMYFUNCTION("""COMPUTED_VALUE"""),"Orange-crowned Warbler")</f>
        <v>Orange-crowned Warbler</v>
      </c>
      <c r="F76" s="103" t="str">
        <f ca="1">IFERROR(__xludf.DUMMYFUNCTION("""COMPUTED_VALUE"""),"OCWA")</f>
        <v>OCWA</v>
      </c>
      <c r="G76" s="103">
        <f ca="1">IFERROR(__xludf.DUMMYFUNCTION("""COMPUTED_VALUE"""),2)</f>
        <v>2</v>
      </c>
      <c r="H76" s="103" t="str">
        <f ca="1">IFERROR(__xludf.DUMMYFUNCTION("""COMPUTED_VALUE"""),"S")</f>
        <v>S</v>
      </c>
      <c r="I76" s="103" t="str">
        <f ca="1">IFERROR(__xludf.DUMMYFUNCTION("""COMPUTED_VALUE"""),"P")</f>
        <v>P</v>
      </c>
      <c r="J76" s="103" t="str">
        <f ca="1">IFERROR(__xludf.DUMMYFUNCTION("""COMPUTED_VALUE"""),"FPJ")</f>
        <v>FPJ</v>
      </c>
      <c r="K76" s="103" t="str">
        <f ca="1">IFERROR(__xludf.DUMMYFUNCTION("""COMPUTED_VALUE"""),"U")</f>
        <v>U</v>
      </c>
      <c r="L76" s="103"/>
      <c r="M76" s="103"/>
      <c r="N76" s="103">
        <f ca="1">IFERROR(__xludf.DUMMYFUNCTION("""COMPUTED_VALUE"""),3)</f>
        <v>3</v>
      </c>
      <c r="O76" s="103">
        <f ca="1">IFERROR(__xludf.DUMMYFUNCTION("""COMPUTED_VALUE"""),0)</f>
        <v>0</v>
      </c>
      <c r="P76" s="103">
        <f ca="1">IFERROR(__xludf.DUMMYFUNCTION("""COMPUTED_VALUE"""),0)</f>
        <v>0</v>
      </c>
      <c r="Q76" s="103">
        <f ca="1">IFERROR(__xludf.DUMMYFUNCTION("""COMPUTED_VALUE"""),1)</f>
        <v>1</v>
      </c>
      <c r="R76" s="103">
        <f ca="1">IFERROR(__xludf.DUMMYFUNCTION("""COMPUTED_VALUE"""),2)</f>
        <v>2</v>
      </c>
      <c r="S76" s="103" t="str">
        <f ca="1">IFERROR(__xludf.DUMMYFUNCTION("""COMPUTED_VALUE"""),"N")</f>
        <v>N</v>
      </c>
      <c r="T76" s="103">
        <f ca="1">IFERROR(__xludf.DUMMYFUNCTION("""COMPUTED_VALUE"""),1)</f>
        <v>1</v>
      </c>
      <c r="U76" s="103">
        <f ca="1">IFERROR(__xludf.DUMMYFUNCTION("""COMPUTED_VALUE"""),3)</f>
        <v>3</v>
      </c>
      <c r="V76" s="103"/>
      <c r="W76" s="103"/>
      <c r="X76" s="103"/>
      <c r="Y76" s="103"/>
      <c r="Z76" s="103"/>
      <c r="AA76" s="103"/>
      <c r="AB76" s="103"/>
      <c r="AC76" s="103"/>
      <c r="AD76" s="103">
        <f ca="1">IFERROR(__xludf.DUMMYFUNCTION("""COMPUTED_VALUE"""),54)</f>
        <v>54</v>
      </c>
      <c r="AE76" s="103">
        <f ca="1">IFERROR(__xludf.DUMMYFUNCTION("""COMPUTED_VALUE"""),8)</f>
        <v>8</v>
      </c>
      <c r="AF76" s="103">
        <f ca="1">IFERROR(__xludf.DUMMYFUNCTION("""COMPUTED_VALUE"""),300)</f>
        <v>300</v>
      </c>
      <c r="AG76" s="103">
        <f ca="1">IFERROR(__xludf.DUMMYFUNCTION("""COMPUTED_VALUE"""),6)</f>
        <v>6</v>
      </c>
      <c r="AH76" s="103">
        <f ca="1">IFERROR(__xludf.DUMMYFUNCTION("""COMPUTED_VALUE"""),12)</f>
        <v>12</v>
      </c>
      <c r="AI76" s="103">
        <f ca="1">IFERROR(__xludf.DUMMYFUNCTION("""COMPUTED_VALUE"""),10)</f>
        <v>10</v>
      </c>
      <c r="AJ76" s="103" t="str">
        <f ca="1">IFERROR(__xludf.DUMMYFUNCTION("""COMPUTED_VALUE"""),"MORS")</f>
        <v>MORS</v>
      </c>
      <c r="AK76" s="103">
        <f ca="1">IFERROR(__xludf.DUMMYFUNCTION("""COMPUTED_VALUE"""),15)</f>
        <v>15</v>
      </c>
      <c r="AL76" s="103"/>
      <c r="AM76" s="103"/>
      <c r="AN76" s="103"/>
      <c r="AO76" s="57">
        <f ca="1">IFERROR(__xludf.DUMMYFUNCTION("""COMPUTED_VALUE"""),0)</f>
        <v>0</v>
      </c>
      <c r="AP76" s="103">
        <f ca="1">IFERROR(__xludf.DUMMYFUNCTION("""COMPUTED_VALUE"""),4)</f>
        <v>4</v>
      </c>
    </row>
    <row r="77" spans="1:42">
      <c r="A77" s="103">
        <f ca="1">IFERROR(__xludf.DUMMYFUNCTION("""COMPUTED_VALUE"""),7)</f>
        <v>7</v>
      </c>
      <c r="B77" s="103" t="str">
        <f ca="1">IFERROR(__xludf.DUMMYFUNCTION("""COMPUTED_VALUE"""),"JHT")</f>
        <v>JHT</v>
      </c>
      <c r="C77" s="103" t="str">
        <f ca="1">IFERROR(__xludf.DUMMYFUNCTION("""COMPUTED_VALUE"""),"N")</f>
        <v>N</v>
      </c>
      <c r="D77" s="103">
        <f ca="1">IFERROR(__xludf.DUMMYFUNCTION("""COMPUTED_VALUE"""),290077832)</f>
        <v>290077832</v>
      </c>
      <c r="E77" s="103" t="str">
        <f ca="1">IFERROR(__xludf.DUMMYFUNCTION("""COMPUTED_VALUE"""),"Pacific-slope Flycatcher")</f>
        <v>Pacific-slope Flycatcher</v>
      </c>
      <c r="F77" s="103" t="str">
        <f ca="1">IFERROR(__xludf.DUMMYFUNCTION("""COMPUTED_VALUE"""),"PSFL")</f>
        <v>PSFL</v>
      </c>
      <c r="G77" s="103">
        <f ca="1">IFERROR(__xludf.DUMMYFUNCTION("""COMPUTED_VALUE"""),1)</f>
        <v>1</v>
      </c>
      <c r="H77" s="103" t="str">
        <f ca="1">IFERROR(__xludf.DUMMYFUNCTION("""COMPUTED_VALUE"""),"S")</f>
        <v>S</v>
      </c>
      <c r="I77" s="103"/>
      <c r="J77" s="103" t="str">
        <f ca="1">IFERROR(__xludf.DUMMYFUNCTION("""COMPUTED_VALUE"""),"UAJ")</f>
        <v>UAJ</v>
      </c>
      <c r="K77" s="103" t="str">
        <f ca="1">IFERROR(__xludf.DUMMYFUNCTION("""COMPUTED_VALUE"""),"U")</f>
        <v>U</v>
      </c>
      <c r="L77" s="103"/>
      <c r="M77" s="103"/>
      <c r="N77" s="103">
        <f ca="1">IFERROR(__xludf.DUMMYFUNCTION("""COMPUTED_VALUE"""),6)</f>
        <v>6</v>
      </c>
      <c r="O77" s="103">
        <f ca="1">IFERROR(__xludf.DUMMYFUNCTION("""COMPUTED_VALUE"""),0)</f>
        <v>0</v>
      </c>
      <c r="P77" s="103">
        <f ca="1">IFERROR(__xludf.DUMMYFUNCTION("""COMPUTED_VALUE"""),0)</f>
        <v>0</v>
      </c>
      <c r="Q77" s="103">
        <f ca="1">IFERROR(__xludf.DUMMYFUNCTION("""COMPUTED_VALUE"""),1)</f>
        <v>1</v>
      </c>
      <c r="R77" s="103">
        <f ca="1">IFERROR(__xludf.DUMMYFUNCTION("""COMPUTED_VALUE"""),0)</f>
        <v>0</v>
      </c>
      <c r="S77" s="103" t="str">
        <f ca="1">IFERROR(__xludf.DUMMYFUNCTION("""COMPUTED_VALUE"""),"N")</f>
        <v>N</v>
      </c>
      <c r="T77" s="103">
        <f ca="1">IFERROR(__xludf.DUMMYFUNCTION("""COMPUTED_VALUE"""),4)</f>
        <v>4</v>
      </c>
      <c r="U77" s="103"/>
      <c r="V77" s="103"/>
      <c r="W77" s="103"/>
      <c r="X77" s="103"/>
      <c r="Y77" s="103"/>
      <c r="Z77" s="103"/>
      <c r="AA77" s="103"/>
      <c r="AB77" s="103"/>
      <c r="AC77" s="103"/>
      <c r="AD77" s="103">
        <f ca="1">IFERROR(__xludf.DUMMYFUNCTION("""COMPUTED_VALUE"""),58)</f>
        <v>58</v>
      </c>
      <c r="AE77" s="103">
        <f ca="1">IFERROR(__xludf.DUMMYFUNCTION("""COMPUTED_VALUE"""),9.9)</f>
        <v>9.9</v>
      </c>
      <c r="AF77" s="103">
        <f ca="1">IFERROR(__xludf.DUMMYFUNCTION("""COMPUTED_VALUE"""),300)</f>
        <v>300</v>
      </c>
      <c r="AG77" s="103">
        <f ca="1">IFERROR(__xludf.DUMMYFUNCTION("""COMPUTED_VALUE"""),6)</f>
        <v>6</v>
      </c>
      <c r="AH77" s="103">
        <f ca="1">IFERROR(__xludf.DUMMYFUNCTION("""COMPUTED_VALUE"""),12)</f>
        <v>12</v>
      </c>
      <c r="AI77" s="103">
        <f ca="1">IFERROR(__xludf.DUMMYFUNCTION("""COMPUTED_VALUE"""),130)</f>
        <v>130</v>
      </c>
      <c r="AJ77" s="103" t="str">
        <f ca="1">IFERROR(__xludf.DUMMYFUNCTION("""COMPUTED_VALUE"""),"MORS")</f>
        <v>MORS</v>
      </c>
      <c r="AK77" s="103">
        <f ca="1">IFERROR(__xludf.DUMMYFUNCTION("""COMPUTED_VALUE"""),6)</f>
        <v>6</v>
      </c>
      <c r="AL77" s="103"/>
      <c r="AM77" s="103">
        <f ca="1">IFERROR(__xludf.DUMMYFUNCTION("""COMPUTED_VALUE"""),4)</f>
        <v>4</v>
      </c>
      <c r="AN77" s="103" t="str">
        <f ca="1">IFERROR(__xludf.DUMMYFUNCTION("""COMPUTED_VALUE"""),"Probable Female due to rear facing Cloaca")</f>
        <v>Probable Female due to rear facing Cloaca</v>
      </c>
      <c r="AO77" s="57" t="str">
        <f ca="1">IFERROR(__xludf.DUMMYFUNCTION("""COMPUTED_VALUE"""),"0A")</f>
        <v>0A</v>
      </c>
      <c r="AP77" s="103">
        <f ca="1">IFERROR(__xludf.DUMMYFUNCTION("""COMPUTED_VALUE"""),4)</f>
        <v>4</v>
      </c>
    </row>
    <row r="78" spans="1:42">
      <c r="A78" s="103">
        <f ca="1">IFERROR(__xludf.DUMMYFUNCTION("""COMPUTED_VALUE"""),8)</f>
        <v>8</v>
      </c>
      <c r="B78" s="103" t="str">
        <f ca="1">IFERROR(__xludf.DUMMYFUNCTION("""COMPUTED_VALUE"""),"JHT")</f>
        <v>JHT</v>
      </c>
      <c r="C78" s="103" t="str">
        <f ca="1">IFERROR(__xludf.DUMMYFUNCTION("""COMPUTED_VALUE"""),"R")</f>
        <v>R</v>
      </c>
      <c r="D78" s="103">
        <f ca="1">IFERROR(__xludf.DUMMYFUNCTION("""COMPUTED_VALUE"""),172176223)</f>
        <v>172176223</v>
      </c>
      <c r="E78" s="103" t="str">
        <f ca="1">IFERROR(__xludf.DUMMYFUNCTION("""COMPUTED_VALUE"""),"Swainson's Thrush")</f>
        <v>Swainson's Thrush</v>
      </c>
      <c r="F78" s="103" t="str">
        <f ca="1">IFERROR(__xludf.DUMMYFUNCTION("""COMPUTED_VALUE"""),"SWTH")</f>
        <v>SWTH</v>
      </c>
      <c r="G78" s="103">
        <f ca="1">IFERROR(__xludf.DUMMYFUNCTION("""COMPUTED_VALUE"""),1)</f>
        <v>1</v>
      </c>
      <c r="H78" s="103" t="str">
        <f ca="1">IFERROR(__xludf.DUMMYFUNCTION("""COMPUTED_VALUE"""),"S")</f>
        <v>S</v>
      </c>
      <c r="I78" s="103" t="str">
        <f ca="1">IFERROR(__xludf.DUMMYFUNCTION("""COMPUTED_VALUE"""),"C")</f>
        <v>C</v>
      </c>
      <c r="J78" s="103" t="str">
        <f ca="1">IFERROR(__xludf.DUMMYFUNCTION("""COMPUTED_VALUE"""),"UAJ")</f>
        <v>UAJ</v>
      </c>
      <c r="K78" s="103" t="str">
        <f ca="1">IFERROR(__xludf.DUMMYFUNCTION("""COMPUTED_VALUE"""),"M")</f>
        <v>M</v>
      </c>
      <c r="L78" s="103" t="str">
        <f ca="1">IFERROR(__xludf.DUMMYFUNCTION("""COMPUTED_VALUE"""),"C")</f>
        <v>C</v>
      </c>
      <c r="M78" s="103" t="str">
        <f ca="1">IFERROR(__xludf.DUMMYFUNCTION("""COMPUTED_VALUE"""),"P")</f>
        <v>P</v>
      </c>
      <c r="N78" s="103">
        <f ca="1">IFERROR(__xludf.DUMMYFUNCTION("""COMPUTED_VALUE"""),5)</f>
        <v>5</v>
      </c>
      <c r="O78" s="103">
        <f ca="1">IFERROR(__xludf.DUMMYFUNCTION("""COMPUTED_VALUE"""),3)</f>
        <v>3</v>
      </c>
      <c r="P78" s="103">
        <f ca="1">IFERROR(__xludf.DUMMYFUNCTION("""COMPUTED_VALUE"""),0)</f>
        <v>0</v>
      </c>
      <c r="Q78" s="103">
        <f ca="1">IFERROR(__xludf.DUMMYFUNCTION("""COMPUTED_VALUE"""),0)</f>
        <v>0</v>
      </c>
      <c r="R78" s="103">
        <f ca="1">IFERROR(__xludf.DUMMYFUNCTION("""COMPUTED_VALUE"""),0)</f>
        <v>0</v>
      </c>
      <c r="S78" s="103" t="str">
        <f ca="1">IFERROR(__xludf.DUMMYFUNCTION("""COMPUTED_VALUE"""),"N")</f>
        <v>N</v>
      </c>
      <c r="T78" s="103">
        <f ca="1">IFERROR(__xludf.DUMMYFUNCTION("""COMPUTED_VALUE"""),2)</f>
        <v>2</v>
      </c>
      <c r="U78" s="103"/>
      <c r="V78" s="103"/>
      <c r="W78" s="103"/>
      <c r="X78" s="103"/>
      <c r="Y78" s="103"/>
      <c r="Z78" s="103"/>
      <c r="AA78" s="103"/>
      <c r="AB78" s="103"/>
      <c r="AC78" s="103"/>
      <c r="AD78" s="103">
        <f ca="1">IFERROR(__xludf.DUMMYFUNCTION("""COMPUTED_VALUE"""),96)</f>
        <v>96</v>
      </c>
      <c r="AE78" s="103">
        <f ca="1">IFERROR(__xludf.DUMMYFUNCTION("""COMPUTED_VALUE"""),30.8)</f>
        <v>30.8</v>
      </c>
      <c r="AF78" s="103">
        <f ca="1">IFERROR(__xludf.DUMMYFUNCTION("""COMPUTED_VALUE"""),300)</f>
        <v>300</v>
      </c>
      <c r="AG78" s="103">
        <f ca="1">IFERROR(__xludf.DUMMYFUNCTION("""COMPUTED_VALUE"""),6)</f>
        <v>6</v>
      </c>
      <c r="AH78" s="103">
        <f ca="1">IFERROR(__xludf.DUMMYFUNCTION("""COMPUTED_VALUE"""),12)</f>
        <v>12</v>
      </c>
      <c r="AI78" s="103">
        <f ca="1">IFERROR(__xludf.DUMMYFUNCTION("""COMPUTED_VALUE"""),11)</f>
        <v>11</v>
      </c>
      <c r="AJ78" s="103" t="str">
        <f ca="1">IFERROR(__xludf.DUMMYFUNCTION("""COMPUTED_VALUE"""),"MORS")</f>
        <v>MORS</v>
      </c>
      <c r="AK78" s="103">
        <f ca="1">IFERROR(__xludf.DUMMYFUNCTION("""COMPUTED_VALUE"""),2)</f>
        <v>2</v>
      </c>
      <c r="AL78" s="103"/>
      <c r="AM78" s="103"/>
      <c r="AN78" s="103"/>
      <c r="AO78" s="57" t="str">
        <f ca="1">IFERROR(__xludf.DUMMYFUNCTION("""COMPUTED_VALUE"""),"R")</f>
        <v>R</v>
      </c>
      <c r="AP78" s="103">
        <f ca="1">IFERROR(__xludf.DUMMYFUNCTION("""COMPUTED_VALUE"""),4)</f>
        <v>4</v>
      </c>
    </row>
    <row r="79" spans="1:42">
      <c r="A79" s="103">
        <f ca="1">IFERROR(__xludf.DUMMYFUNCTION("""COMPUTED_VALUE"""),9)</f>
        <v>9</v>
      </c>
      <c r="B79" s="103" t="str">
        <f ca="1">IFERROR(__xludf.DUMMYFUNCTION("""COMPUTED_VALUE"""),"JHT")</f>
        <v>JHT</v>
      </c>
      <c r="C79" s="103" t="str">
        <f ca="1">IFERROR(__xludf.DUMMYFUNCTION("""COMPUTED_VALUE"""),"N")</f>
        <v>N</v>
      </c>
      <c r="D79" s="103">
        <f ca="1">IFERROR(__xludf.DUMMYFUNCTION("""COMPUTED_VALUE"""),290077834)</f>
        <v>290077834</v>
      </c>
      <c r="E79" s="103" t="str">
        <f ca="1">IFERROR(__xludf.DUMMYFUNCTION("""COMPUTED_VALUE"""),"Chestnut-backed Chickadee")</f>
        <v>Chestnut-backed Chickadee</v>
      </c>
      <c r="F79" s="103" t="str">
        <f ca="1">IFERROR(__xludf.DUMMYFUNCTION("""COMPUTED_VALUE"""),"CBCH")</f>
        <v>CBCH</v>
      </c>
      <c r="G79" s="103">
        <f ca="1">IFERROR(__xludf.DUMMYFUNCTION("""COMPUTED_VALUE"""),1)</f>
        <v>1</v>
      </c>
      <c r="H79" s="103" t="str">
        <f ca="1">IFERROR(__xludf.DUMMYFUNCTION("""COMPUTED_VALUE"""),"S")</f>
        <v>S</v>
      </c>
      <c r="I79" s="103"/>
      <c r="J79" s="103" t="str">
        <f ca="1">IFERROR(__xludf.DUMMYFUNCTION("""COMPUTED_VALUE"""),"UAJ")</f>
        <v>UAJ</v>
      </c>
      <c r="K79" s="103" t="str">
        <f ca="1">IFERROR(__xludf.DUMMYFUNCTION("""COMPUTED_VALUE"""),"U")</f>
        <v>U</v>
      </c>
      <c r="L79" s="103"/>
      <c r="M79" s="103"/>
      <c r="N79" s="103">
        <f ca="1">IFERROR(__xludf.DUMMYFUNCTION("""COMPUTED_VALUE"""),6)</f>
        <v>6</v>
      </c>
      <c r="O79" s="103">
        <f ca="1">IFERROR(__xludf.DUMMYFUNCTION("""COMPUTED_VALUE"""),0)</f>
        <v>0</v>
      </c>
      <c r="P79" s="103">
        <f ca="1">IFERROR(__xludf.DUMMYFUNCTION("""COMPUTED_VALUE"""),0)</f>
        <v>0</v>
      </c>
      <c r="Q79" s="103">
        <f ca="1">IFERROR(__xludf.DUMMYFUNCTION("""COMPUTED_VALUE"""),2)</f>
        <v>2</v>
      </c>
      <c r="R79" s="103">
        <f ca="1">IFERROR(__xludf.DUMMYFUNCTION("""COMPUTED_VALUE"""),0)</f>
        <v>0</v>
      </c>
      <c r="S79" s="103" t="str">
        <f ca="1">IFERROR(__xludf.DUMMYFUNCTION("""COMPUTED_VALUE"""),"S")</f>
        <v>S</v>
      </c>
      <c r="T79" s="103">
        <f ca="1">IFERROR(__xludf.DUMMYFUNCTION("""COMPUTED_VALUE"""),2)</f>
        <v>2</v>
      </c>
      <c r="U79" s="103"/>
      <c r="V79" s="103"/>
      <c r="W79" s="103"/>
      <c r="X79" s="103"/>
      <c r="Y79" s="103"/>
      <c r="Z79" s="103"/>
      <c r="AA79" s="103"/>
      <c r="AB79" s="103"/>
      <c r="AC79" s="103"/>
      <c r="AD79" s="103">
        <f ca="1">IFERROR(__xludf.DUMMYFUNCTION("""COMPUTED_VALUE"""),59)</f>
        <v>59</v>
      </c>
      <c r="AE79" s="103">
        <f ca="1">IFERROR(__xludf.DUMMYFUNCTION("""COMPUTED_VALUE"""),9.5)</f>
        <v>9.5</v>
      </c>
      <c r="AF79" s="103">
        <f ca="1">IFERROR(__xludf.DUMMYFUNCTION("""COMPUTED_VALUE"""),300)</f>
        <v>300</v>
      </c>
      <c r="AG79" s="103">
        <f ca="1">IFERROR(__xludf.DUMMYFUNCTION("""COMPUTED_VALUE"""),6)</f>
        <v>6</v>
      </c>
      <c r="AH79" s="103">
        <f ca="1">IFERROR(__xludf.DUMMYFUNCTION("""COMPUTED_VALUE"""),12)</f>
        <v>12</v>
      </c>
      <c r="AI79" s="103">
        <f ca="1">IFERROR(__xludf.DUMMYFUNCTION("""COMPUTED_VALUE"""),1140)</f>
        <v>1140</v>
      </c>
      <c r="AJ79" s="103" t="str">
        <f ca="1">IFERROR(__xludf.DUMMYFUNCTION("""COMPUTED_VALUE"""),"MORS")</f>
        <v>MORS</v>
      </c>
      <c r="AK79" s="103">
        <f ca="1">IFERROR(__xludf.DUMMYFUNCTION("""COMPUTED_VALUE"""),10)</f>
        <v>10</v>
      </c>
      <c r="AL79" s="103"/>
      <c r="AM79" s="103">
        <f ca="1">IFERROR(__xludf.DUMMYFUNCTION("""COMPUTED_VALUE"""),5)</f>
        <v>5</v>
      </c>
      <c r="AN79" s="103" t="str">
        <f ca="1">IFERROR(__xludf.DUMMYFUNCTION("""COMPUTED_VALUE"""),"RP1 75% RP2 70% Rp3 10%")</f>
        <v>RP1 75% RP2 70% Rp3 10%</v>
      </c>
      <c r="AO79" s="57" t="str">
        <f ca="1">IFERROR(__xludf.DUMMYFUNCTION("""COMPUTED_VALUE"""),"0A")</f>
        <v>0A</v>
      </c>
      <c r="AP79" s="103">
        <f ca="1">IFERROR(__xludf.DUMMYFUNCTION("""COMPUTED_VALUE"""),4)</f>
        <v>4</v>
      </c>
    </row>
    <row r="80" spans="1:42">
      <c r="A80" s="103">
        <f ca="1">IFERROR(__xludf.DUMMYFUNCTION("""COMPUTED_VALUE"""),1)</f>
        <v>1</v>
      </c>
      <c r="B80" s="103" t="str">
        <f ca="1">IFERROR(__xludf.DUMMYFUNCTION("""COMPUTED_VALUE"""),"NDS")</f>
        <v>NDS</v>
      </c>
      <c r="C80" s="103" t="str">
        <f ca="1">IFERROR(__xludf.DUMMYFUNCTION("""COMPUTED_VALUE"""),"N")</f>
        <v>N</v>
      </c>
      <c r="D80" s="103">
        <f ca="1">IFERROR(__xludf.DUMMYFUNCTION("""COMPUTED_VALUE"""),290077837)</f>
        <v>290077837</v>
      </c>
      <c r="E80" s="103" t="str">
        <f ca="1">IFERROR(__xludf.DUMMYFUNCTION("""COMPUTED_VALUE"""),"Bushtit")</f>
        <v>Bushtit</v>
      </c>
      <c r="F80" s="103" t="str">
        <f ca="1">IFERROR(__xludf.DUMMYFUNCTION("""COMPUTED_VALUE"""),"BUSH")</f>
        <v>BUSH</v>
      </c>
      <c r="G80" s="103">
        <f ca="1">IFERROR(__xludf.DUMMYFUNCTION("""COMPUTED_VALUE"""),1)</f>
        <v>1</v>
      </c>
      <c r="H80" s="103" t="str">
        <f ca="1">IFERROR(__xludf.DUMMYFUNCTION("""COMPUTED_VALUE"""),"P")</f>
        <v>P</v>
      </c>
      <c r="I80" s="103"/>
      <c r="J80" s="103" t="str">
        <f ca="1">IFERROR(__xludf.DUMMYFUNCTION("""COMPUTED_VALUE"""),"UAJ")</f>
        <v>UAJ</v>
      </c>
      <c r="K80" s="103" t="str">
        <f ca="1">IFERROR(__xludf.DUMMYFUNCTION("""COMPUTED_VALUE"""),"M")</f>
        <v>M</v>
      </c>
      <c r="L80" s="103" t="str">
        <f ca="1">IFERROR(__xludf.DUMMYFUNCTION("""COMPUTED_VALUE"""),"E")</f>
        <v>E</v>
      </c>
      <c r="M80" s="103"/>
      <c r="N80" s="103">
        <f ca="1">IFERROR(__xludf.DUMMYFUNCTION("""COMPUTED_VALUE"""),8)</f>
        <v>8</v>
      </c>
      <c r="O80" s="103">
        <f ca="1">IFERROR(__xludf.DUMMYFUNCTION("""COMPUTED_VALUE"""),0)</f>
        <v>0</v>
      </c>
      <c r="P80" s="103">
        <f ca="1">IFERROR(__xludf.DUMMYFUNCTION("""COMPUTED_VALUE"""),0)</f>
        <v>0</v>
      </c>
      <c r="Q80" s="103">
        <f ca="1">IFERROR(__xludf.DUMMYFUNCTION("""COMPUTED_VALUE"""),2)</f>
        <v>2</v>
      </c>
      <c r="R80" s="103">
        <f ca="1">IFERROR(__xludf.DUMMYFUNCTION("""COMPUTED_VALUE"""),2)</f>
        <v>2</v>
      </c>
      <c r="S80" s="103" t="str">
        <f ca="1">IFERROR(__xludf.DUMMYFUNCTION("""COMPUTED_VALUE"""),"N")</f>
        <v>N</v>
      </c>
      <c r="T80" s="103">
        <f ca="1">IFERROR(__xludf.DUMMYFUNCTION("""COMPUTED_VALUE"""),3)</f>
        <v>3</v>
      </c>
      <c r="U80" s="103"/>
      <c r="V80" s="103"/>
      <c r="W80" s="103"/>
      <c r="X80" s="103" t="str">
        <f ca="1">IFERROR(__xludf.DUMMYFUNCTION("""COMPUTED_VALUE"""),"B")</f>
        <v>B</v>
      </c>
      <c r="Y80" s="103"/>
      <c r="Z80" s="103"/>
      <c r="AA80" s="103"/>
      <c r="AB80" s="103"/>
      <c r="AC80" s="103"/>
      <c r="AD80" s="103">
        <f ca="1">IFERROR(__xludf.DUMMYFUNCTION("""COMPUTED_VALUE"""),46)</f>
        <v>46</v>
      </c>
      <c r="AE80" s="103">
        <f ca="1">IFERROR(__xludf.DUMMYFUNCTION("""COMPUTED_VALUE"""),5.4)</f>
        <v>5.4</v>
      </c>
      <c r="AF80" s="103">
        <f ca="1">IFERROR(__xludf.DUMMYFUNCTION("""COMPUTED_VALUE"""),300)</f>
        <v>300</v>
      </c>
      <c r="AG80" s="103">
        <f ca="1">IFERROR(__xludf.DUMMYFUNCTION("""COMPUTED_VALUE"""),6)</f>
        <v>6</v>
      </c>
      <c r="AH80" s="103">
        <f ca="1">IFERROR(__xludf.DUMMYFUNCTION("""COMPUTED_VALUE"""),29)</f>
        <v>29</v>
      </c>
      <c r="AI80" s="103">
        <f ca="1">IFERROR(__xludf.DUMMYFUNCTION("""COMPUTED_VALUE"""),630)</f>
        <v>630</v>
      </c>
      <c r="AJ80" s="103" t="str">
        <f ca="1">IFERROR(__xludf.DUMMYFUNCTION("""COMPUTED_VALUE"""),"MORS")</f>
        <v>MORS</v>
      </c>
      <c r="AK80" s="103">
        <f ca="1">IFERROR(__xludf.DUMMYFUNCTION("""COMPUTED_VALUE"""),21)</f>
        <v>21</v>
      </c>
      <c r="AL80" s="103"/>
      <c r="AM80" s="103"/>
      <c r="AN80" s="103"/>
      <c r="AO80" s="57" t="str">
        <f ca="1">IFERROR(__xludf.DUMMYFUNCTION("""COMPUTED_VALUE"""),"0A")</f>
        <v>0A</v>
      </c>
      <c r="AP80" s="103">
        <f ca="1">IFERROR(__xludf.DUMMYFUNCTION("""COMPUTED_VALUE"""),1)</f>
        <v>1</v>
      </c>
    </row>
    <row r="81" spans="1:42">
      <c r="A81" s="103">
        <f ca="1">IFERROR(__xludf.DUMMYFUNCTION("""COMPUTED_VALUE"""),2)</f>
        <v>2</v>
      </c>
      <c r="B81" s="103" t="str">
        <f ca="1">IFERROR(__xludf.DUMMYFUNCTION("""COMPUTED_VALUE"""),"NDS")</f>
        <v>NDS</v>
      </c>
      <c r="C81" s="103" t="str">
        <f ca="1">IFERROR(__xludf.DUMMYFUNCTION("""COMPUTED_VALUE"""),"R")</f>
        <v>R</v>
      </c>
      <c r="D81" s="103">
        <f ca="1">IFERROR(__xludf.DUMMYFUNCTION("""COMPUTED_VALUE"""),172176231)</f>
        <v>172176231</v>
      </c>
      <c r="E81" s="103" t="str">
        <f ca="1">IFERROR(__xludf.DUMMYFUNCTION("""COMPUTED_VALUE"""),"Song Sparrow")</f>
        <v>Song Sparrow</v>
      </c>
      <c r="F81" s="103" t="str">
        <f ca="1">IFERROR(__xludf.DUMMYFUNCTION("""COMPUTED_VALUE"""),"SOSP")</f>
        <v>SOSP</v>
      </c>
      <c r="G81" s="103">
        <f ca="1">IFERROR(__xludf.DUMMYFUNCTION("""COMPUTED_VALUE"""),1)</f>
        <v>1</v>
      </c>
      <c r="H81" s="103" t="str">
        <f ca="1">IFERROR(__xludf.DUMMYFUNCTION("""COMPUTED_VALUE"""),"P")</f>
        <v>P</v>
      </c>
      <c r="I81" s="103"/>
      <c r="J81" s="103" t="str">
        <f ca="1">IFERROR(__xludf.DUMMYFUNCTION("""COMPUTED_VALUE"""),"UAJ")</f>
        <v>UAJ</v>
      </c>
      <c r="K81" s="103" t="str">
        <f ca="1">IFERROR(__xludf.DUMMYFUNCTION("""COMPUTED_VALUE"""),"M")</f>
        <v>M</v>
      </c>
      <c r="L81" s="103" t="str">
        <f ca="1">IFERROR(__xludf.DUMMYFUNCTION("""COMPUTED_VALUE"""),"C")</f>
        <v>C</v>
      </c>
      <c r="M81" s="103"/>
      <c r="N81" s="103"/>
      <c r="O81" s="103">
        <f ca="1">IFERROR(__xludf.DUMMYFUNCTION("""COMPUTED_VALUE"""),3)</f>
        <v>3</v>
      </c>
      <c r="P81" s="103">
        <f ca="1">IFERROR(__xludf.DUMMYFUNCTION("""COMPUTED_VALUE"""),0)</f>
        <v>0</v>
      </c>
      <c r="Q81" s="103">
        <f ca="1">IFERROR(__xludf.DUMMYFUNCTION("""COMPUTED_VALUE"""),3)</f>
        <v>3</v>
      </c>
      <c r="R81" s="103">
        <f ca="1">IFERROR(__xludf.DUMMYFUNCTION("""COMPUTED_VALUE"""),0)</f>
        <v>0</v>
      </c>
      <c r="S81" s="103" t="str">
        <f ca="1">IFERROR(__xludf.DUMMYFUNCTION("""COMPUTED_VALUE"""),"N")</f>
        <v>N</v>
      </c>
      <c r="T81" s="103">
        <f ca="1">IFERROR(__xludf.DUMMYFUNCTION("""COMPUTED_VALUE"""),3)</f>
        <v>3</v>
      </c>
      <c r="U81" s="103"/>
      <c r="V81" s="103"/>
      <c r="W81" s="103"/>
      <c r="X81" s="103"/>
      <c r="Y81" s="103"/>
      <c r="Z81" s="103"/>
      <c r="AA81" s="103"/>
      <c r="AB81" s="103"/>
      <c r="AC81" s="103"/>
      <c r="AD81" s="103">
        <f ca="1">IFERROR(__xludf.DUMMYFUNCTION("""COMPUTED_VALUE"""),63)</f>
        <v>63</v>
      </c>
      <c r="AE81" s="103"/>
      <c r="AF81" s="103">
        <f ca="1">IFERROR(__xludf.DUMMYFUNCTION("""COMPUTED_VALUE"""),300)</f>
        <v>300</v>
      </c>
      <c r="AG81" s="103">
        <f ca="1">IFERROR(__xludf.DUMMYFUNCTION("""COMPUTED_VALUE"""),6)</f>
        <v>6</v>
      </c>
      <c r="AH81" s="103">
        <f ca="1">IFERROR(__xludf.DUMMYFUNCTION("""COMPUTED_VALUE"""),29)</f>
        <v>29</v>
      </c>
      <c r="AI81" s="103">
        <f ca="1">IFERROR(__xludf.DUMMYFUNCTION("""COMPUTED_VALUE"""),630)</f>
        <v>630</v>
      </c>
      <c r="AJ81" s="103" t="str">
        <f ca="1">IFERROR(__xludf.DUMMYFUNCTION("""COMPUTED_VALUE"""),"MORS")</f>
        <v>MORS</v>
      </c>
      <c r="AK81" s="103">
        <f ca="1">IFERROR(__xludf.DUMMYFUNCTION("""COMPUTED_VALUE"""),20)</f>
        <v>20</v>
      </c>
      <c r="AL81" s="103"/>
      <c r="AM81" s="103">
        <f ca="1">IFERROR(__xludf.DUMMYFUNCTION("""COMPUTED_VALUE"""),1)</f>
        <v>1</v>
      </c>
      <c r="AN81" s="103" t="str">
        <f ca="1">IFERROR(__xludf.DUMMYFUNCTION("""COMPUTED_VALUE"""),"Heavy chipping on wing tips may result in shorter wing chord. Arrested irregular tail molt. Forgot to weigh.")</f>
        <v>Heavy chipping on wing tips may result in shorter wing chord. Arrested irregular tail molt. Forgot to weigh.</v>
      </c>
      <c r="AO81" s="57" t="str">
        <f ca="1">IFERROR(__xludf.DUMMYFUNCTION("""COMPUTED_VALUE"""),"R")</f>
        <v>R</v>
      </c>
      <c r="AP81" s="103">
        <f ca="1">IFERROR(__xludf.DUMMYFUNCTION("""COMPUTED_VALUE"""),1)</f>
        <v>1</v>
      </c>
    </row>
    <row r="82" spans="1:42">
      <c r="A82" s="103">
        <f ca="1">IFERROR(__xludf.DUMMYFUNCTION("""COMPUTED_VALUE"""),3)</f>
        <v>3</v>
      </c>
      <c r="B82" s="103" t="str">
        <f ca="1">IFERROR(__xludf.DUMMYFUNCTION("""COMPUTED_VALUE"""),"NDS")</f>
        <v>NDS</v>
      </c>
      <c r="C82" s="103" t="str">
        <f ca="1">IFERROR(__xludf.DUMMYFUNCTION("""COMPUTED_VALUE"""),"U")</f>
        <v>U</v>
      </c>
      <c r="D82" s="103"/>
      <c r="E82" s="103" t="str">
        <f ca="1">IFERROR(__xludf.DUMMYFUNCTION("""COMPUTED_VALUE"""),"Anna's Hummingbird")</f>
        <v>Anna's Hummingbird</v>
      </c>
      <c r="F82" s="103" t="str">
        <f ca="1">IFERROR(__xludf.DUMMYFUNCTION("""COMPUTED_VALUE"""),"ANHU")</f>
        <v>ANHU</v>
      </c>
      <c r="G82" s="103">
        <f ca="1">IFERROR(__xludf.DUMMYFUNCTION("""COMPUTED_VALUE"""),2)</f>
        <v>2</v>
      </c>
      <c r="H82" s="103" t="str">
        <f ca="1">IFERROR(__xludf.DUMMYFUNCTION("""COMPUTED_VALUE"""),"J")</f>
        <v>J</v>
      </c>
      <c r="I82" s="103" t="str">
        <f ca="1">IFERROR(__xludf.DUMMYFUNCTION("""COMPUTED_VALUE"""),"I")</f>
        <v>I</v>
      </c>
      <c r="J82" s="103" t="str">
        <f ca="1">IFERROR(__xludf.DUMMYFUNCTION("""COMPUTED_VALUE"""),"FCJ")</f>
        <v>FCJ</v>
      </c>
      <c r="K82" s="103" t="str">
        <f ca="1">IFERROR(__xludf.DUMMYFUNCTION("""COMPUTED_VALUE"""),"M")</f>
        <v>M</v>
      </c>
      <c r="L82" s="103" t="str">
        <f ca="1">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 ca="1">IFERROR(__xludf.DUMMYFUNCTION("""COMPUTED_VALUE"""),21)</f>
        <v>21</v>
      </c>
      <c r="AF82" s="103">
        <f ca="1">IFERROR(__xludf.DUMMYFUNCTION("""COMPUTED_VALUE"""),300)</f>
        <v>300</v>
      </c>
      <c r="AG82" s="103">
        <f ca="1">IFERROR(__xludf.DUMMYFUNCTION("""COMPUTED_VALUE"""),6)</f>
        <v>6</v>
      </c>
      <c r="AH82" s="103">
        <f ca="1">IFERROR(__xludf.DUMMYFUNCTION("""COMPUTED_VALUE"""),29)</f>
        <v>29</v>
      </c>
      <c r="AI82" s="103">
        <f ca="1">IFERROR(__xludf.DUMMYFUNCTION("""COMPUTED_VALUE"""),630)</f>
        <v>630</v>
      </c>
      <c r="AJ82" s="103" t="str">
        <f ca="1">IFERROR(__xludf.DUMMYFUNCTION("""COMPUTED_VALUE"""),"MORS")</f>
        <v>MORS</v>
      </c>
      <c r="AK82" s="103">
        <f ca="1">IFERROR(__xludf.DUMMYFUNCTION("""COMPUTED_VALUE"""),21)</f>
        <v>21</v>
      </c>
      <c r="AL82" s="103"/>
      <c r="AM82" s="103"/>
      <c r="AN82" s="103"/>
      <c r="AO82" s="57" t="str">
        <f ca="1">IFERROR(__xludf.DUMMYFUNCTION("""COMPUTED_VALUE"""),"U")</f>
        <v>U</v>
      </c>
      <c r="AP82" s="103">
        <f ca="1">IFERROR(__xludf.DUMMYFUNCTION("""COMPUTED_VALUE"""),1)</f>
        <v>1</v>
      </c>
    </row>
    <row r="83" spans="1:42">
      <c r="A83" s="103">
        <f ca="1">IFERROR(__xludf.DUMMYFUNCTION("""COMPUTED_VALUE"""),4)</f>
        <v>4</v>
      </c>
      <c r="B83" s="103" t="str">
        <f ca="1">IFERROR(__xludf.DUMMYFUNCTION("""COMPUTED_VALUE"""),"NDS")</f>
        <v>NDS</v>
      </c>
      <c r="C83" s="103" t="str">
        <f ca="1">IFERROR(__xludf.DUMMYFUNCTION("""COMPUTED_VALUE"""),"N")</f>
        <v>N</v>
      </c>
      <c r="D83" s="103">
        <f ca="1">IFERROR(__xludf.DUMMYFUNCTION("""COMPUTED_VALUE"""),281191230)</f>
        <v>281191230</v>
      </c>
      <c r="E83" s="103" t="str">
        <f ca="1">IFERROR(__xludf.DUMMYFUNCTION("""COMPUTED_VALUE"""),"Purple Finch")</f>
        <v>Purple Finch</v>
      </c>
      <c r="F83" s="103" t="str">
        <f ca="1">IFERROR(__xludf.DUMMYFUNCTION("""COMPUTED_VALUE"""),"PUFI")</f>
        <v>PUFI</v>
      </c>
      <c r="G83" s="103">
        <f ca="1">IFERROR(__xludf.DUMMYFUNCTION("""COMPUTED_VALUE"""),2)</f>
        <v>2</v>
      </c>
      <c r="H83" s="103" t="str">
        <f ca="1">IFERROR(__xludf.DUMMYFUNCTION("""COMPUTED_VALUE"""),"J")</f>
        <v>J</v>
      </c>
      <c r="I83" s="103"/>
      <c r="J83" s="103" t="str">
        <f ca="1">IFERROR(__xludf.DUMMYFUNCTION("""COMPUTED_VALUE"""),"FCJ")</f>
        <v>FCJ</v>
      </c>
      <c r="K83" s="103" t="str">
        <f ca="1">IFERROR(__xludf.DUMMYFUNCTION("""COMPUTED_VALUE"""),"U")</f>
        <v>U</v>
      </c>
      <c r="L83" s="103"/>
      <c r="M83" s="103"/>
      <c r="N83" s="103"/>
      <c r="O83" s="103">
        <f ca="1">IFERROR(__xludf.DUMMYFUNCTION("""COMPUTED_VALUE"""),0)</f>
        <v>0</v>
      </c>
      <c r="P83" s="103">
        <f ca="1">IFERROR(__xludf.DUMMYFUNCTION("""COMPUTED_VALUE"""),0)</f>
        <v>0</v>
      </c>
      <c r="Q83" s="103">
        <f ca="1">IFERROR(__xludf.DUMMYFUNCTION("""COMPUTED_VALUE"""),3)</f>
        <v>3</v>
      </c>
      <c r="R83" s="103">
        <f ca="1">IFERROR(__xludf.DUMMYFUNCTION("""COMPUTED_VALUE"""),1)</f>
        <v>1</v>
      </c>
      <c r="S83" s="103" t="str">
        <f ca="1">IFERROR(__xludf.DUMMYFUNCTION("""COMPUTED_VALUE"""),"N")</f>
        <v>N</v>
      </c>
      <c r="T83" s="103">
        <f ca="1">IFERROR(__xludf.DUMMYFUNCTION("""COMPUTED_VALUE"""),0)</f>
        <v>0</v>
      </c>
      <c r="U83" s="103">
        <f ca="1">IFERROR(__xludf.DUMMYFUNCTION("""COMPUTED_VALUE"""),3)</f>
        <v>3</v>
      </c>
      <c r="V83" s="103" t="str">
        <f ca="1">IFERROR(__xludf.DUMMYFUNCTION("""COMPUTED_VALUE"""),"J")</f>
        <v>J</v>
      </c>
      <c r="W83" s="103"/>
      <c r="X83" s="103" t="str">
        <f ca="1">IFERROR(__xludf.DUMMYFUNCTION("""COMPUTED_VALUE"""),"J")</f>
        <v>J</v>
      </c>
      <c r="Y83" s="103"/>
      <c r="Z83" s="103"/>
      <c r="AA83" s="103" t="str">
        <f ca="1">IFERROR(__xludf.DUMMYFUNCTION("""COMPUTED_VALUE"""),"J")</f>
        <v>J</v>
      </c>
      <c r="AB83" s="103" t="str">
        <f ca="1">IFERROR(__xludf.DUMMYFUNCTION("""COMPUTED_VALUE"""),"J")</f>
        <v>J</v>
      </c>
      <c r="AC83" s="103"/>
      <c r="AD83" s="103">
        <f ca="1">IFERROR(__xludf.DUMMYFUNCTION("""COMPUTED_VALUE"""),72)</f>
        <v>72</v>
      </c>
      <c r="AE83" s="103">
        <f ca="1">IFERROR(__xludf.DUMMYFUNCTION("""COMPUTED_VALUE"""),22.8)</f>
        <v>22.8</v>
      </c>
      <c r="AF83" s="103">
        <f ca="1">IFERROR(__xludf.DUMMYFUNCTION("""COMPUTED_VALUE"""),300)</f>
        <v>300</v>
      </c>
      <c r="AG83" s="103">
        <f ca="1">IFERROR(__xludf.DUMMYFUNCTION("""COMPUTED_VALUE"""),6)</f>
        <v>6</v>
      </c>
      <c r="AH83" s="103">
        <f ca="1">IFERROR(__xludf.DUMMYFUNCTION("""COMPUTED_VALUE"""),29)</f>
        <v>29</v>
      </c>
      <c r="AI83" s="103">
        <f ca="1">IFERROR(__xludf.DUMMYFUNCTION("""COMPUTED_VALUE"""),7)</f>
        <v>7</v>
      </c>
      <c r="AJ83" s="103" t="str">
        <f ca="1">IFERROR(__xludf.DUMMYFUNCTION("""COMPUTED_VALUE"""),"MORS")</f>
        <v>MORS</v>
      </c>
      <c r="AK83" s="103">
        <f ca="1">IFERROR(__xludf.DUMMYFUNCTION("""COMPUTED_VALUE"""),21)</f>
        <v>21</v>
      </c>
      <c r="AL83" s="103"/>
      <c r="AM83" s="103">
        <f ca="1">IFERROR(__xludf.DUMMYFUNCTION("""COMPUTED_VALUE"""),2)</f>
        <v>2</v>
      </c>
      <c r="AN83" s="103" t="str">
        <f ca="1">IFERROR(__xludf.DUMMYFUNCTION("""COMPUTED_VALUE"""),"Suspected Female by cp orientation")</f>
        <v>Suspected Female by cp orientation</v>
      </c>
      <c r="AO83" s="57">
        <f ca="1">IFERROR(__xludf.DUMMYFUNCTION("""COMPUTED_VALUE"""),1)</f>
        <v>1</v>
      </c>
      <c r="AP83" s="103">
        <f ca="1">IFERROR(__xludf.DUMMYFUNCTION("""COMPUTED_VALUE"""),1)</f>
        <v>1</v>
      </c>
    </row>
    <row r="84" spans="1:42">
      <c r="A84" s="103">
        <f ca="1">IFERROR(__xludf.DUMMYFUNCTION("""COMPUTED_VALUE"""),5)</f>
        <v>5</v>
      </c>
      <c r="B84" s="103" t="str">
        <f ca="1">IFERROR(__xludf.DUMMYFUNCTION("""COMPUTED_VALUE"""),"NDS")</f>
        <v>NDS</v>
      </c>
      <c r="C84" s="103" t="str">
        <f ca="1">IFERROR(__xludf.DUMMYFUNCTION("""COMPUTED_VALUE"""),"R")</f>
        <v>R</v>
      </c>
      <c r="D84" s="103">
        <f ca="1">IFERROR(__xludf.DUMMYFUNCTION("""COMPUTED_VALUE"""),172176231)</f>
        <v>172176231</v>
      </c>
      <c r="E84" s="103" t="str">
        <f ca="1">IFERROR(__xludf.DUMMYFUNCTION("""COMPUTED_VALUE"""),"Song Sparrow")</f>
        <v>Song Sparrow</v>
      </c>
      <c r="F84" s="103" t="str">
        <f ca="1">IFERROR(__xludf.DUMMYFUNCTION("""COMPUTED_VALUE"""),"SOSP")</f>
        <v>SOSP</v>
      </c>
      <c r="G84" s="103">
        <f ca="1">IFERROR(__xludf.DUMMYFUNCTION("""COMPUTED_VALUE"""),5)</f>
        <v>5</v>
      </c>
      <c r="H84" s="103" t="str">
        <f ca="1">IFERROR(__xludf.DUMMYFUNCTION("""COMPUTED_VALUE"""),"P")</f>
        <v>P</v>
      </c>
      <c r="I84" s="103"/>
      <c r="J84" s="103" t="str">
        <f ca="1">IFERROR(__xludf.DUMMYFUNCTION("""COMPUTED_VALUE"""),"FCF")</f>
        <v>FCF</v>
      </c>
      <c r="K84" s="103" t="str">
        <f ca="1">IFERROR(__xludf.DUMMYFUNCTION("""COMPUTED_VALUE"""),"M")</f>
        <v>M</v>
      </c>
      <c r="L84" s="103" t="str">
        <f ca="1">IFERROR(__xludf.DUMMYFUNCTION("""COMPUTED_VALUE"""),"C")</f>
        <v>C</v>
      </c>
      <c r="M84" s="103"/>
      <c r="N84" s="103"/>
      <c r="O84" s="103">
        <f ca="1">IFERROR(__xludf.DUMMYFUNCTION("""COMPUTED_VALUE"""),3)</f>
        <v>3</v>
      </c>
      <c r="P84" s="103">
        <f ca="1">IFERROR(__xludf.DUMMYFUNCTION("""COMPUTED_VALUE"""),0)</f>
        <v>0</v>
      </c>
      <c r="Q84" s="103">
        <f ca="1">IFERROR(__xludf.DUMMYFUNCTION("""COMPUTED_VALUE"""),2)</f>
        <v>2</v>
      </c>
      <c r="R84" s="103">
        <f ca="1">IFERROR(__xludf.DUMMYFUNCTION("""COMPUTED_VALUE"""),0)</f>
        <v>0</v>
      </c>
      <c r="S84" s="103" t="str">
        <f ca="1">IFERROR(__xludf.DUMMYFUNCTION("""COMPUTED_VALUE"""),"N")</f>
        <v>N</v>
      </c>
      <c r="T84" s="103">
        <f ca="1">IFERROR(__xludf.DUMMYFUNCTION("""COMPUTED_VALUE"""),2)</f>
        <v>2</v>
      </c>
      <c r="U84" s="103"/>
      <c r="V84" s="103"/>
      <c r="W84" s="103"/>
      <c r="X84" s="103"/>
      <c r="Y84" s="103"/>
      <c r="Z84" s="103"/>
      <c r="AA84" s="103" t="str">
        <f ca="1">IFERROR(__xludf.DUMMYFUNCTION("""COMPUTED_VALUE"""),"J")</f>
        <v>J</v>
      </c>
      <c r="AB84" s="103"/>
      <c r="AC84" s="103"/>
      <c r="AD84" s="103">
        <f ca="1">IFERROR(__xludf.DUMMYFUNCTION("""COMPUTED_VALUE"""),65)</f>
        <v>65</v>
      </c>
      <c r="AE84" s="103">
        <f ca="1">IFERROR(__xludf.DUMMYFUNCTION("""COMPUTED_VALUE"""),88)</f>
        <v>88</v>
      </c>
      <c r="AF84" s="103">
        <f ca="1">IFERROR(__xludf.DUMMYFUNCTION("""COMPUTED_VALUE"""),300)</f>
        <v>300</v>
      </c>
      <c r="AG84" s="103">
        <f ca="1">IFERROR(__xludf.DUMMYFUNCTION("""COMPUTED_VALUE"""),6)</f>
        <v>6</v>
      </c>
      <c r="AH84" s="103">
        <f ca="1">IFERROR(__xludf.DUMMYFUNCTION("""COMPUTED_VALUE"""),29)</f>
        <v>29</v>
      </c>
      <c r="AI84" s="103">
        <f ca="1">IFERROR(__xludf.DUMMYFUNCTION("""COMPUTED_VALUE"""),730)</f>
        <v>730</v>
      </c>
      <c r="AJ84" s="103" t="str">
        <f ca="1">IFERROR(__xludf.DUMMYFUNCTION("""COMPUTED_VALUE"""),"MORS")</f>
        <v>MORS</v>
      </c>
      <c r="AK84" s="103">
        <f ca="1">IFERROR(__xludf.DUMMYFUNCTION("""COMPUTED_VALUE"""),6)</f>
        <v>6</v>
      </c>
      <c r="AL84" s="103"/>
      <c r="AM84" s="103">
        <f ca="1">IFERROR(__xludf.DUMMYFUNCTION("""COMPUTED_VALUE"""),3)</f>
        <v>3</v>
      </c>
      <c r="AN84" s="103" t="str">
        <f ca="1">IFERROR(__xludf.DUMMYFUNCTION("""COMPUTED_VALUE"""),"Uniform growth bars and fault lines on rects. Ecc molt from flight feather wear. Going out on a limb here.")</f>
        <v>Uniform growth bars and fault lines on rects. Ecc molt from flight feather wear. Going out on a limb here.</v>
      </c>
      <c r="AO84" s="57" t="str">
        <f ca="1">IFERROR(__xludf.DUMMYFUNCTION("""COMPUTED_VALUE"""),"R")</f>
        <v>R</v>
      </c>
      <c r="AP84" s="103">
        <f ca="1">IFERROR(__xludf.DUMMYFUNCTION("""COMPUTED_VALUE"""),1)</f>
        <v>1</v>
      </c>
    </row>
    <row r="85" spans="1:42">
      <c r="A85" s="103">
        <f ca="1">IFERROR(__xludf.DUMMYFUNCTION("""COMPUTED_VALUE"""),6)</f>
        <v>6</v>
      </c>
      <c r="B85" s="103" t="str">
        <f ca="1">IFERROR(__xludf.DUMMYFUNCTION("""COMPUTED_VALUE"""),"NDS")</f>
        <v>NDS</v>
      </c>
      <c r="C85" s="103" t="str">
        <f ca="1">IFERROR(__xludf.DUMMYFUNCTION("""COMPUTED_VALUE"""),"N")</f>
        <v>N</v>
      </c>
      <c r="D85" s="103">
        <f ca="1">IFERROR(__xludf.DUMMYFUNCTION("""COMPUTED_VALUE"""),135291872)</f>
        <v>135291872</v>
      </c>
      <c r="E85" s="103" t="str">
        <f ca="1">IFERROR(__xludf.DUMMYFUNCTION("""COMPUTED_VALUE"""),"American Robin")</f>
        <v>American Robin</v>
      </c>
      <c r="F85" s="103" t="str">
        <f ca="1">IFERROR(__xludf.DUMMYFUNCTION("""COMPUTED_VALUE"""),"AMRO")</f>
        <v>AMRO</v>
      </c>
      <c r="G85" s="103">
        <f ca="1">IFERROR(__xludf.DUMMYFUNCTION("""COMPUTED_VALUE"""),5)</f>
        <v>5</v>
      </c>
      <c r="H85" s="103" t="str">
        <f ca="1">IFERROR(__xludf.DUMMYFUNCTION("""COMPUTED_VALUE"""),"P")</f>
        <v>P</v>
      </c>
      <c r="I85" s="103"/>
      <c r="J85" s="103" t="str">
        <f ca="1">IFERROR(__xludf.DUMMYFUNCTION("""COMPUTED_VALUE"""),"FCF")</f>
        <v>FCF</v>
      </c>
      <c r="K85" s="103" t="str">
        <f ca="1">IFERROR(__xludf.DUMMYFUNCTION("""COMPUTED_VALUE"""),"F")</f>
        <v>F</v>
      </c>
      <c r="L85" s="103" t="str">
        <f ca="1">IFERROR(__xludf.DUMMYFUNCTION("""COMPUTED_VALUE"""),"B")</f>
        <v>B</v>
      </c>
      <c r="M85" s="103" t="str">
        <f ca="1">IFERROR(__xludf.DUMMYFUNCTION("""COMPUTED_VALUE"""),"P")</f>
        <v>P</v>
      </c>
      <c r="N85" s="103"/>
      <c r="O85" s="103">
        <f ca="1">IFERROR(__xludf.DUMMYFUNCTION("""COMPUTED_VALUE"""),0)</f>
        <v>0</v>
      </c>
      <c r="P85" s="103">
        <f ca="1">IFERROR(__xludf.DUMMYFUNCTION("""COMPUTED_VALUE"""),3)</f>
        <v>3</v>
      </c>
      <c r="Q85" s="103">
        <f ca="1">IFERROR(__xludf.DUMMYFUNCTION("""COMPUTED_VALUE"""),1)</f>
        <v>1</v>
      </c>
      <c r="R85" s="103">
        <f ca="1">IFERROR(__xludf.DUMMYFUNCTION("""COMPUTED_VALUE"""),0)</f>
        <v>0</v>
      </c>
      <c r="S85" s="103" t="str">
        <f ca="1">IFERROR(__xludf.DUMMYFUNCTION("""COMPUTED_VALUE"""),"N")</f>
        <v>N</v>
      </c>
      <c r="T85" s="103">
        <f ca="1">IFERROR(__xludf.DUMMYFUNCTION("""COMPUTED_VALUE"""),2)</f>
        <v>2</v>
      </c>
      <c r="U85" s="103"/>
      <c r="V85" s="103" t="str">
        <f ca="1">IFERROR(__xludf.DUMMYFUNCTION("""COMPUTED_VALUE"""),"J")</f>
        <v>J</v>
      </c>
      <c r="W85" s="103"/>
      <c r="X85" s="103"/>
      <c r="Y85" s="103"/>
      <c r="Z85" s="103"/>
      <c r="AA85" s="103" t="str">
        <f ca="1">IFERROR(__xludf.DUMMYFUNCTION("""COMPUTED_VALUE"""),"J")</f>
        <v>J</v>
      </c>
      <c r="AB85" s="103"/>
      <c r="AC85" s="103"/>
      <c r="AD85" s="103">
        <f ca="1">IFERROR(__xludf.DUMMYFUNCTION("""COMPUTED_VALUE"""),121)</f>
        <v>121</v>
      </c>
      <c r="AE85" s="103">
        <f ca="1">IFERROR(__xludf.DUMMYFUNCTION("""COMPUTED_VALUE"""),21.9)</f>
        <v>21.9</v>
      </c>
      <c r="AF85" s="103">
        <f ca="1">IFERROR(__xludf.DUMMYFUNCTION("""COMPUTED_VALUE"""),300)</f>
        <v>300</v>
      </c>
      <c r="AG85" s="103">
        <f ca="1">IFERROR(__xludf.DUMMYFUNCTION("""COMPUTED_VALUE"""),6)</f>
        <v>6</v>
      </c>
      <c r="AH85" s="103">
        <f ca="1">IFERROR(__xludf.DUMMYFUNCTION("""COMPUTED_VALUE"""),29)</f>
        <v>29</v>
      </c>
      <c r="AI85" s="103">
        <f ca="1">IFERROR(__xludf.DUMMYFUNCTION("""COMPUTED_VALUE"""),730)</f>
        <v>730</v>
      </c>
      <c r="AJ85" s="103" t="str">
        <f ca="1">IFERROR(__xludf.DUMMYFUNCTION("""COMPUTED_VALUE"""),"MORS")</f>
        <v>MORS</v>
      </c>
      <c r="AK85" s="103">
        <f ca="1">IFERROR(__xludf.DUMMYFUNCTION("""COMPUTED_VALUE"""),20)</f>
        <v>20</v>
      </c>
      <c r="AL85" s="103"/>
      <c r="AM85" s="103"/>
      <c r="AN85" s="103"/>
      <c r="AO85" s="57">
        <f ca="1">IFERROR(__xludf.DUMMYFUNCTION("""COMPUTED_VALUE"""),2)</f>
        <v>2</v>
      </c>
      <c r="AP85" s="103">
        <f ca="1">IFERROR(__xludf.DUMMYFUNCTION("""COMPUTED_VALUE"""),1)</f>
        <v>1</v>
      </c>
    </row>
    <row r="86" spans="1:42">
      <c r="A86" s="103">
        <f ca="1">IFERROR(__xludf.DUMMYFUNCTION("""COMPUTED_VALUE"""),7)</f>
        <v>7</v>
      </c>
      <c r="B86" s="103" t="str">
        <f ca="1">IFERROR(__xludf.DUMMYFUNCTION("""COMPUTED_VALUE"""),"NDS")</f>
        <v>NDS</v>
      </c>
      <c r="C86" s="103" t="str">
        <f ca="1">IFERROR(__xludf.DUMMYFUNCTION("""COMPUTED_VALUE"""),"N")</f>
        <v>N</v>
      </c>
      <c r="D86" s="103">
        <f ca="1">IFERROR(__xludf.DUMMYFUNCTION("""COMPUTED_VALUE"""),281191232)</f>
        <v>281191232</v>
      </c>
      <c r="E86" s="103" t="str">
        <f ca="1">IFERROR(__xludf.DUMMYFUNCTION("""COMPUTED_VALUE"""),"Purple Finch")</f>
        <v>Purple Finch</v>
      </c>
      <c r="F86" s="103" t="str">
        <f ca="1">IFERROR(__xludf.DUMMYFUNCTION("""COMPUTED_VALUE"""),"PUFI")</f>
        <v>PUFI</v>
      </c>
      <c r="G86" s="103">
        <f ca="1">IFERROR(__xludf.DUMMYFUNCTION("""COMPUTED_VALUE"""),2)</f>
        <v>2</v>
      </c>
      <c r="H86" s="103" t="str">
        <f ca="1">IFERROR(__xludf.DUMMYFUNCTION("""COMPUTED_VALUE"""),"J")</f>
        <v>J</v>
      </c>
      <c r="I86" s="103"/>
      <c r="J86" s="103" t="str">
        <f ca="1">IFERROR(__xludf.DUMMYFUNCTION("""COMPUTED_VALUE"""),"FCJ")</f>
        <v>FCJ</v>
      </c>
      <c r="K86" s="103" t="str">
        <f ca="1">IFERROR(__xludf.DUMMYFUNCTION("""COMPUTED_VALUE"""),"U")</f>
        <v>U</v>
      </c>
      <c r="L86" s="103"/>
      <c r="M86" s="103"/>
      <c r="N86" s="103"/>
      <c r="O86" s="103">
        <f ca="1">IFERROR(__xludf.DUMMYFUNCTION("""COMPUTED_VALUE"""),0)</f>
        <v>0</v>
      </c>
      <c r="P86" s="103">
        <f ca="1">IFERROR(__xludf.DUMMYFUNCTION("""COMPUTED_VALUE"""),0)</f>
        <v>0</v>
      </c>
      <c r="Q86" s="103">
        <f ca="1">IFERROR(__xludf.DUMMYFUNCTION("""COMPUTED_VALUE"""),0)</f>
        <v>0</v>
      </c>
      <c r="R86" s="103">
        <f ca="1">IFERROR(__xludf.DUMMYFUNCTION("""COMPUTED_VALUE"""),2)</f>
        <v>2</v>
      </c>
      <c r="S86" s="103" t="str">
        <f ca="1">IFERROR(__xludf.DUMMYFUNCTION("""COMPUTED_VALUE"""),"N")</f>
        <v>N</v>
      </c>
      <c r="T86" s="103">
        <f ca="1">IFERROR(__xludf.DUMMYFUNCTION("""COMPUTED_VALUE"""),0)</f>
        <v>0</v>
      </c>
      <c r="U86" s="103"/>
      <c r="V86" s="103"/>
      <c r="W86" s="103"/>
      <c r="X86" s="103" t="str">
        <f ca="1">IFERROR(__xludf.DUMMYFUNCTION("""COMPUTED_VALUE"""),"J")</f>
        <v>J</v>
      </c>
      <c r="Y86" s="103"/>
      <c r="Z86" s="103"/>
      <c r="AA86" s="103" t="str">
        <f ca="1">IFERROR(__xludf.DUMMYFUNCTION("""COMPUTED_VALUE"""),"J")</f>
        <v>J</v>
      </c>
      <c r="AB86" s="103"/>
      <c r="AC86" s="103"/>
      <c r="AD86" s="103">
        <f ca="1">IFERROR(__xludf.DUMMYFUNCTION("""COMPUTED_VALUE"""),78)</f>
        <v>78</v>
      </c>
      <c r="AE86" s="103"/>
      <c r="AF86" s="103">
        <f ca="1">IFERROR(__xludf.DUMMYFUNCTION("""COMPUTED_VALUE"""),300)</f>
        <v>300</v>
      </c>
      <c r="AG86" s="103">
        <f ca="1">IFERROR(__xludf.DUMMYFUNCTION("""COMPUTED_VALUE"""),6)</f>
        <v>6</v>
      </c>
      <c r="AH86" s="103">
        <f ca="1">IFERROR(__xludf.DUMMYFUNCTION("""COMPUTED_VALUE"""),29)</f>
        <v>29</v>
      </c>
      <c r="AI86" s="103">
        <f ca="1">IFERROR(__xludf.DUMMYFUNCTION("""COMPUTED_VALUE"""),8)</f>
        <v>8</v>
      </c>
      <c r="AJ86" s="103" t="str">
        <f ca="1">IFERROR(__xludf.DUMMYFUNCTION("""COMPUTED_VALUE"""),"MORS")</f>
        <v>MORS</v>
      </c>
      <c r="AK86" s="103">
        <f ca="1">IFERROR(__xludf.DUMMYFUNCTION("""COMPUTED_VALUE"""),15)</f>
        <v>15</v>
      </c>
      <c r="AL86" s="103"/>
      <c r="AM86" s="103">
        <f ca="1">IFERROR(__xludf.DUMMYFUNCTION("""COMPUTED_VALUE"""),4)</f>
        <v>4</v>
      </c>
      <c r="AN86" s="103" t="str">
        <f ca="1">IFERROR(__xludf.DUMMYFUNCTION("""COMPUTED_VALUE"""),"First bird for Tarren")</f>
        <v>First bird for Tarren</v>
      </c>
      <c r="AO86" s="57">
        <f ca="1">IFERROR(__xludf.DUMMYFUNCTION("""COMPUTED_VALUE"""),1)</f>
        <v>1</v>
      </c>
      <c r="AP86" s="103">
        <f ca="1">IFERROR(__xludf.DUMMYFUNCTION("""COMPUTED_VALUE"""),1)</f>
        <v>1</v>
      </c>
    </row>
    <row r="87" spans="1:42">
      <c r="A87" s="103">
        <f ca="1">IFERROR(__xludf.DUMMYFUNCTION("""COMPUTED_VALUE"""),8)</f>
        <v>8</v>
      </c>
      <c r="B87" s="103" t="str">
        <f ca="1">IFERROR(__xludf.DUMMYFUNCTION("""COMPUTED_VALUE"""),"NDS")</f>
        <v>NDS</v>
      </c>
      <c r="C87" s="103" t="str">
        <f ca="1">IFERROR(__xludf.DUMMYFUNCTION("""COMPUTED_VALUE"""),"N")</f>
        <v>N</v>
      </c>
      <c r="D87" s="103">
        <f ca="1">IFERROR(__xludf.DUMMYFUNCTION("""COMPUTED_VALUE"""),288029947)</f>
        <v>288029947</v>
      </c>
      <c r="E87" s="103" t="str">
        <f ca="1">IFERROR(__xludf.DUMMYFUNCTION("""COMPUTED_VALUE"""),"Common Yellowthroat")</f>
        <v>Common Yellowthroat</v>
      </c>
      <c r="F87" s="103" t="str">
        <f ca="1">IFERROR(__xludf.DUMMYFUNCTION("""COMPUTED_VALUE"""),"COYE")</f>
        <v>COYE</v>
      </c>
      <c r="G87" s="103">
        <f ca="1">IFERROR(__xludf.DUMMYFUNCTION("""COMPUTED_VALUE"""),2)</f>
        <v>2</v>
      </c>
      <c r="H87" s="103" t="str">
        <f ca="1">IFERROR(__xludf.DUMMYFUNCTION("""COMPUTED_VALUE"""),"J")</f>
        <v>J</v>
      </c>
      <c r="I87" s="103"/>
      <c r="J87" s="103" t="str">
        <f ca="1">IFERROR(__xludf.DUMMYFUNCTION("""COMPUTED_VALUE"""),"FPJ")</f>
        <v>FPJ</v>
      </c>
      <c r="K87" s="103" t="str">
        <f ca="1">IFERROR(__xludf.DUMMYFUNCTION("""COMPUTED_VALUE"""),"U")</f>
        <v>U</v>
      </c>
      <c r="L87" s="103"/>
      <c r="M87" s="103"/>
      <c r="N87" s="103"/>
      <c r="O87" s="103">
        <f ca="1">IFERROR(__xludf.DUMMYFUNCTION("""COMPUTED_VALUE"""),0)</f>
        <v>0</v>
      </c>
      <c r="P87" s="103">
        <f ca="1">IFERROR(__xludf.DUMMYFUNCTION("""COMPUTED_VALUE"""),0)</f>
        <v>0</v>
      </c>
      <c r="Q87" s="103">
        <f ca="1">IFERROR(__xludf.DUMMYFUNCTION("""COMPUTED_VALUE"""),1)</f>
        <v>1</v>
      </c>
      <c r="R87" s="103">
        <f ca="1">IFERROR(__xludf.DUMMYFUNCTION("""COMPUTED_VALUE"""),1)</f>
        <v>1</v>
      </c>
      <c r="S87" s="103" t="str">
        <f ca="1">IFERROR(__xludf.DUMMYFUNCTION("""COMPUTED_VALUE"""),"J")</f>
        <v>J</v>
      </c>
      <c r="T87" s="103">
        <f ca="1">IFERROR(__xludf.DUMMYFUNCTION("""COMPUTED_VALUE"""),0)</f>
        <v>0</v>
      </c>
      <c r="U87" s="103">
        <f ca="1">IFERROR(__xludf.DUMMYFUNCTION("""COMPUTED_VALUE"""),3)</f>
        <v>3</v>
      </c>
      <c r="V87" s="103"/>
      <c r="W87" s="103" t="str">
        <f ca="1">IFERROR(__xludf.DUMMYFUNCTION("""COMPUTED_VALUE"""),"J")</f>
        <v>J</v>
      </c>
      <c r="X87" s="103" t="str">
        <f ca="1">IFERROR(__xludf.DUMMYFUNCTION("""COMPUTED_VALUE"""),"J")</f>
        <v>J</v>
      </c>
      <c r="Y87" s="103"/>
      <c r="Z87" s="103"/>
      <c r="AA87" s="103" t="str">
        <f ca="1">IFERROR(__xludf.DUMMYFUNCTION("""COMPUTED_VALUE"""),"J")</f>
        <v>J</v>
      </c>
      <c r="AB87" s="103"/>
      <c r="AC87" s="103"/>
      <c r="AD87" s="103">
        <f ca="1">IFERROR(__xludf.DUMMYFUNCTION("""COMPUTED_VALUE"""),55)</f>
        <v>55</v>
      </c>
      <c r="AE87" s="103"/>
      <c r="AF87" s="103">
        <f ca="1">IFERROR(__xludf.DUMMYFUNCTION("""COMPUTED_VALUE"""),300)</f>
        <v>300</v>
      </c>
      <c r="AG87" s="103">
        <f ca="1">IFERROR(__xludf.DUMMYFUNCTION("""COMPUTED_VALUE"""),6)</f>
        <v>6</v>
      </c>
      <c r="AH87" s="103">
        <f ca="1">IFERROR(__xludf.DUMMYFUNCTION("""COMPUTED_VALUE"""),29)</f>
        <v>29</v>
      </c>
      <c r="AI87" s="103">
        <f ca="1">IFERROR(__xludf.DUMMYFUNCTION("""COMPUTED_VALUE"""),8)</f>
        <v>8</v>
      </c>
      <c r="AJ87" s="103" t="str">
        <f ca="1">IFERROR(__xludf.DUMMYFUNCTION("""COMPUTED_VALUE"""),"MORS")</f>
        <v>MORS</v>
      </c>
      <c r="AK87" s="103">
        <f ca="1">IFERROR(__xludf.DUMMYFUNCTION("""COMPUTED_VALUE"""),21)</f>
        <v>21</v>
      </c>
      <c r="AL87" s="103"/>
      <c r="AM87" s="103">
        <f ca="1">IFERROR(__xludf.DUMMYFUNCTION("""COMPUTED_VALUE"""),5)</f>
        <v>5</v>
      </c>
      <c r="AN87" s="103" t="str">
        <f ca="1">IFERROR(__xludf.DUMMYFUNCTION("""COMPUTED_VALUE"""),"Extraction JSM difficutl. Had to cut from net")</f>
        <v>Extraction JSM difficutl. Had to cut from net</v>
      </c>
      <c r="AO87" s="57">
        <f ca="1">IFERROR(__xludf.DUMMYFUNCTION("""COMPUTED_VALUE"""),0)</f>
        <v>0</v>
      </c>
      <c r="AP87" s="103">
        <f ca="1">IFERROR(__xludf.DUMMYFUNCTION("""COMPUTED_VALUE"""),1)</f>
        <v>1</v>
      </c>
    </row>
    <row r="88" spans="1:42">
      <c r="A88" s="103">
        <f ca="1">IFERROR(__xludf.DUMMYFUNCTION("""COMPUTED_VALUE"""),9)</f>
        <v>9</v>
      </c>
      <c r="B88" s="103" t="str">
        <f ca="1">IFERROR(__xludf.DUMMYFUNCTION("""COMPUTED_VALUE"""),"NDS")</f>
        <v>NDS</v>
      </c>
      <c r="C88" s="103" t="str">
        <f ca="1">IFERROR(__xludf.DUMMYFUNCTION("""COMPUTED_VALUE"""),"N")</f>
        <v>N</v>
      </c>
      <c r="D88" s="103">
        <f ca="1">IFERROR(__xludf.DUMMYFUNCTION("""COMPUTED_VALUE"""),281191233)</f>
        <v>281191233</v>
      </c>
      <c r="E88" s="103" t="str">
        <f ca="1">IFERROR(__xludf.DUMMYFUNCTION("""COMPUTED_VALUE"""),"Purple Finch")</f>
        <v>Purple Finch</v>
      </c>
      <c r="F88" s="103" t="str">
        <f ca="1">IFERROR(__xludf.DUMMYFUNCTION("""COMPUTED_VALUE"""),"PUFI")</f>
        <v>PUFI</v>
      </c>
      <c r="G88" s="103">
        <f ca="1">IFERROR(__xludf.DUMMYFUNCTION("""COMPUTED_VALUE"""),2)</f>
        <v>2</v>
      </c>
      <c r="H88" s="103" t="str">
        <f ca="1">IFERROR(__xludf.DUMMYFUNCTION("""COMPUTED_VALUE"""),"J")</f>
        <v>J</v>
      </c>
      <c r="I88" s="103"/>
      <c r="J88" s="103" t="str">
        <f ca="1">IFERROR(__xludf.DUMMYFUNCTION("""COMPUTED_VALUE"""),"FCJ")</f>
        <v>FCJ</v>
      </c>
      <c r="K88" s="103" t="str">
        <f ca="1">IFERROR(__xludf.DUMMYFUNCTION("""COMPUTED_VALUE"""),"U")</f>
        <v>U</v>
      </c>
      <c r="L88" s="103"/>
      <c r="M88" s="103"/>
      <c r="N88" s="103"/>
      <c r="O88" s="103">
        <f ca="1">IFERROR(__xludf.DUMMYFUNCTION("""COMPUTED_VALUE"""),0)</f>
        <v>0</v>
      </c>
      <c r="P88" s="103">
        <f ca="1">IFERROR(__xludf.DUMMYFUNCTION("""COMPUTED_VALUE"""),0)</f>
        <v>0</v>
      </c>
      <c r="Q88" s="103">
        <f ca="1">IFERROR(__xludf.DUMMYFUNCTION("""COMPUTED_VALUE"""),4)</f>
        <v>4</v>
      </c>
      <c r="R88" s="103">
        <f ca="1">IFERROR(__xludf.DUMMYFUNCTION("""COMPUTED_VALUE"""),0)</f>
        <v>0</v>
      </c>
      <c r="S88" s="103" t="str">
        <f ca="1">IFERROR(__xludf.DUMMYFUNCTION("""COMPUTED_VALUE"""),"N")</f>
        <v>N</v>
      </c>
      <c r="T88" s="103">
        <f ca="1">IFERROR(__xludf.DUMMYFUNCTION("""COMPUTED_VALUE"""),1)</f>
        <v>1</v>
      </c>
      <c r="U88" s="103">
        <f ca="1">IFERROR(__xludf.DUMMYFUNCTION("""COMPUTED_VALUE"""),3)</f>
        <v>3</v>
      </c>
      <c r="V88" s="103"/>
      <c r="W88" s="103"/>
      <c r="X88" s="103" t="str">
        <f ca="1">IFERROR(__xludf.DUMMYFUNCTION("""COMPUTED_VALUE"""),"J")</f>
        <v>J</v>
      </c>
      <c r="Y88" s="103"/>
      <c r="Z88" s="103"/>
      <c r="AA88" s="103" t="str">
        <f ca="1">IFERROR(__xludf.DUMMYFUNCTION("""COMPUTED_VALUE"""),"J")</f>
        <v>J</v>
      </c>
      <c r="AB88" s="103"/>
      <c r="AC88" s="103"/>
      <c r="AD88" s="103">
        <f ca="1">IFERROR(__xludf.DUMMYFUNCTION("""COMPUTED_VALUE"""),76)</f>
        <v>76</v>
      </c>
      <c r="AE88" s="103"/>
      <c r="AF88" s="103">
        <f ca="1">IFERROR(__xludf.DUMMYFUNCTION("""COMPUTED_VALUE"""),300)</f>
        <v>300</v>
      </c>
      <c r="AG88" s="103">
        <f ca="1">IFERROR(__xludf.DUMMYFUNCTION("""COMPUTED_VALUE"""),6)</f>
        <v>6</v>
      </c>
      <c r="AH88" s="103">
        <f ca="1">IFERROR(__xludf.DUMMYFUNCTION("""COMPUTED_VALUE"""),29)</f>
        <v>29</v>
      </c>
      <c r="AI88" s="103">
        <f ca="1">IFERROR(__xludf.DUMMYFUNCTION("""COMPUTED_VALUE"""),830)</f>
        <v>830</v>
      </c>
      <c r="AJ88" s="103" t="str">
        <f ca="1">IFERROR(__xludf.DUMMYFUNCTION("""COMPUTED_VALUE"""),"MORS")</f>
        <v>MORS</v>
      </c>
      <c r="AK88" s="103">
        <f ca="1">IFERROR(__xludf.DUMMYFUNCTION("""COMPUTED_VALUE"""),21)</f>
        <v>21</v>
      </c>
      <c r="AL88" s="103"/>
      <c r="AM88" s="103"/>
      <c r="AN88" s="103"/>
      <c r="AO88" s="57">
        <f ca="1">IFERROR(__xludf.DUMMYFUNCTION("""COMPUTED_VALUE"""),1)</f>
        <v>1</v>
      </c>
      <c r="AP88" s="103">
        <f ca="1">IFERROR(__xludf.DUMMYFUNCTION("""COMPUTED_VALUE"""),1)</f>
        <v>1</v>
      </c>
    </row>
    <row r="89" spans="1:42">
      <c r="A89" s="103">
        <f ca="1">IFERROR(__xludf.DUMMYFUNCTION("""COMPUTED_VALUE"""),10)</f>
        <v>10</v>
      </c>
      <c r="B89" s="103" t="str">
        <f ca="1">IFERROR(__xludf.DUMMYFUNCTION("""COMPUTED_VALUE"""),"NDS")</f>
        <v>NDS</v>
      </c>
      <c r="C89" s="103" t="str">
        <f ca="1">IFERROR(__xludf.DUMMYFUNCTION("""COMPUTED_VALUE"""),"N")</f>
        <v>N</v>
      </c>
      <c r="D89" s="103">
        <f ca="1">IFERROR(__xludf.DUMMYFUNCTION("""COMPUTED_VALUE"""),288029948)</f>
        <v>288029948</v>
      </c>
      <c r="E89" s="103" t="str">
        <f ca="1">IFERROR(__xludf.DUMMYFUNCTION("""COMPUTED_VALUE"""),"Pine Siskin")</f>
        <v>Pine Siskin</v>
      </c>
      <c r="F89" s="103" t="str">
        <f ca="1">IFERROR(__xludf.DUMMYFUNCTION("""COMPUTED_VALUE"""),"PISI")</f>
        <v>PISI</v>
      </c>
      <c r="G89" s="103">
        <f ca="1">IFERROR(__xludf.DUMMYFUNCTION("""COMPUTED_VALUE"""),2)</f>
        <v>2</v>
      </c>
      <c r="H89" s="103" t="str">
        <f ca="1">IFERROR(__xludf.DUMMYFUNCTION("""COMPUTED_VALUE"""),"J")</f>
        <v>J</v>
      </c>
      <c r="I89" s="103"/>
      <c r="J89" s="103" t="str">
        <f ca="1">IFERROR(__xludf.DUMMYFUNCTION("""COMPUTED_VALUE"""),"FCJ")</f>
        <v>FCJ</v>
      </c>
      <c r="K89" s="103" t="str">
        <f ca="1">IFERROR(__xludf.DUMMYFUNCTION("""COMPUTED_VALUE"""),"U")</f>
        <v>U</v>
      </c>
      <c r="L89" s="103"/>
      <c r="M89" s="103"/>
      <c r="N89" s="103"/>
      <c r="O89" s="103">
        <f ca="1">IFERROR(__xludf.DUMMYFUNCTION("""COMPUTED_VALUE"""),0)</f>
        <v>0</v>
      </c>
      <c r="P89" s="103">
        <f ca="1">IFERROR(__xludf.DUMMYFUNCTION("""COMPUTED_VALUE"""),0)</f>
        <v>0</v>
      </c>
      <c r="Q89" s="103">
        <f ca="1">IFERROR(__xludf.DUMMYFUNCTION("""COMPUTED_VALUE"""),1)</f>
        <v>1</v>
      </c>
      <c r="R89" s="103">
        <f ca="1">IFERROR(__xludf.DUMMYFUNCTION("""COMPUTED_VALUE"""),0)</f>
        <v>0</v>
      </c>
      <c r="S89" s="103" t="str">
        <f ca="1">IFERROR(__xludf.DUMMYFUNCTION("""COMPUTED_VALUE"""),"N")</f>
        <v>N</v>
      </c>
      <c r="T89" s="103">
        <f ca="1">IFERROR(__xludf.DUMMYFUNCTION("""COMPUTED_VALUE"""),0)</f>
        <v>0</v>
      </c>
      <c r="U89" s="103">
        <f ca="1">IFERROR(__xludf.DUMMYFUNCTION("""COMPUTED_VALUE"""),3)</f>
        <v>3</v>
      </c>
      <c r="V89" s="103"/>
      <c r="W89" s="103"/>
      <c r="X89" s="103" t="str">
        <f ca="1">IFERROR(__xludf.DUMMYFUNCTION("""COMPUTED_VALUE"""),"J")</f>
        <v>J</v>
      </c>
      <c r="Y89" s="103"/>
      <c r="Z89" s="103"/>
      <c r="AA89" s="103" t="str">
        <f ca="1">IFERROR(__xludf.DUMMYFUNCTION("""COMPUTED_VALUE"""),"J")</f>
        <v>J</v>
      </c>
      <c r="AB89" s="103" t="str">
        <f ca="1">IFERROR(__xludf.DUMMYFUNCTION("""COMPUTED_VALUE"""),"J")</f>
        <v>J</v>
      </c>
      <c r="AC89" s="103"/>
      <c r="AD89" s="103">
        <f ca="1">IFERROR(__xludf.DUMMYFUNCTION("""COMPUTED_VALUE"""),68)</f>
        <v>68</v>
      </c>
      <c r="AE89" s="103"/>
      <c r="AF89" s="103">
        <f ca="1">IFERROR(__xludf.DUMMYFUNCTION("""COMPUTED_VALUE"""),300)</f>
        <v>300</v>
      </c>
      <c r="AG89" s="103">
        <f ca="1">IFERROR(__xludf.DUMMYFUNCTION("""COMPUTED_VALUE"""),6)</f>
        <v>6</v>
      </c>
      <c r="AH89" s="103">
        <f ca="1">IFERROR(__xludf.DUMMYFUNCTION("""COMPUTED_VALUE"""),29)</f>
        <v>29</v>
      </c>
      <c r="AI89" s="103">
        <f ca="1">IFERROR(__xludf.DUMMYFUNCTION("""COMPUTED_VALUE"""),930)</f>
        <v>930</v>
      </c>
      <c r="AJ89" s="103" t="str">
        <f ca="1">IFERROR(__xludf.DUMMYFUNCTION("""COMPUTED_VALUE"""),"MORS")</f>
        <v>MORS</v>
      </c>
      <c r="AK89" s="103">
        <f ca="1">IFERROR(__xludf.DUMMYFUNCTION("""COMPUTED_VALUE"""),21)</f>
        <v>21</v>
      </c>
      <c r="AL89" s="103"/>
      <c r="AM89" s="103"/>
      <c r="AN89" s="103"/>
      <c r="AO89" s="57">
        <f ca="1">IFERROR(__xludf.DUMMYFUNCTION("""COMPUTED_VALUE"""),0)</f>
        <v>0</v>
      </c>
      <c r="AP89" s="103">
        <f ca="1">IFERROR(__xludf.DUMMYFUNCTION("""COMPUTED_VALUE"""),1)</f>
        <v>1</v>
      </c>
    </row>
    <row r="90" spans="1:42">
      <c r="A90" s="103">
        <f ca="1">IFERROR(__xludf.DUMMYFUNCTION("""COMPUTED_VALUE"""),11)</f>
        <v>11</v>
      </c>
      <c r="B90" s="103" t="str">
        <f ca="1">IFERROR(__xludf.DUMMYFUNCTION("""COMPUTED_VALUE"""),"NDS")</f>
        <v>NDS</v>
      </c>
      <c r="C90" s="103" t="str">
        <f ca="1">IFERROR(__xludf.DUMMYFUNCTION("""COMPUTED_VALUE"""),"N")</f>
        <v>N</v>
      </c>
      <c r="D90" s="103">
        <f ca="1">IFERROR(__xludf.DUMMYFUNCTION("""COMPUTED_VALUE"""),135291874)</f>
        <v>135291874</v>
      </c>
      <c r="E90" s="103" t="str">
        <f ca="1">IFERROR(__xludf.DUMMYFUNCTION("""COMPUTED_VALUE"""),"American Robin")</f>
        <v>American Robin</v>
      </c>
      <c r="F90" s="103" t="str">
        <f ca="1">IFERROR(__xludf.DUMMYFUNCTION("""COMPUTED_VALUE"""),"AMRO")</f>
        <v>AMRO</v>
      </c>
      <c r="G90" s="103">
        <f ca="1">IFERROR(__xludf.DUMMYFUNCTION("""COMPUTED_VALUE"""),4)</f>
        <v>4</v>
      </c>
      <c r="H90" s="103" t="str">
        <f ca="1">IFERROR(__xludf.DUMMYFUNCTION("""COMPUTED_VALUE"""),"J")</f>
        <v>J</v>
      </c>
      <c r="I90" s="103"/>
      <c r="J90" s="103" t="str">
        <f ca="1">IFERROR(__xludf.DUMMYFUNCTION("""COMPUTED_VALUE"""),"FPJ")</f>
        <v>FPJ</v>
      </c>
      <c r="K90" s="103" t="str">
        <f ca="1">IFERROR(__xludf.DUMMYFUNCTION("""COMPUTED_VALUE"""),"U")</f>
        <v>U</v>
      </c>
      <c r="L90" s="103"/>
      <c r="M90" s="103"/>
      <c r="N90" s="103"/>
      <c r="O90" s="103">
        <f ca="1">IFERROR(__xludf.DUMMYFUNCTION("""COMPUTED_VALUE"""),0)</f>
        <v>0</v>
      </c>
      <c r="P90" s="103">
        <f ca="1">IFERROR(__xludf.DUMMYFUNCTION("""COMPUTED_VALUE"""),0)</f>
        <v>0</v>
      </c>
      <c r="Q90" s="103">
        <f ca="1">IFERROR(__xludf.DUMMYFUNCTION("""COMPUTED_VALUE"""),0)</f>
        <v>0</v>
      </c>
      <c r="R90" s="103">
        <f ca="1">IFERROR(__xludf.DUMMYFUNCTION("""COMPUTED_VALUE"""),3)</f>
        <v>3</v>
      </c>
      <c r="S90" s="103" t="str">
        <f ca="1">IFERROR(__xludf.DUMMYFUNCTION("""COMPUTED_VALUE"""),"J")</f>
        <v>J</v>
      </c>
      <c r="T90" s="103">
        <f ca="1">IFERROR(__xludf.DUMMYFUNCTION("""COMPUTED_VALUE"""),0)</f>
        <v>0</v>
      </c>
      <c r="U90" s="103">
        <f ca="1">IFERROR(__xludf.DUMMYFUNCTION("""COMPUTED_VALUE"""),3)</f>
        <v>3</v>
      </c>
      <c r="V90" s="103"/>
      <c r="W90" s="103"/>
      <c r="X90" s="103"/>
      <c r="Y90" s="103"/>
      <c r="Z90" s="103"/>
      <c r="AA90" s="103"/>
      <c r="AB90" s="103"/>
      <c r="AC90" s="103"/>
      <c r="AD90" s="103"/>
      <c r="AE90" s="103"/>
      <c r="AF90" s="103">
        <f ca="1">IFERROR(__xludf.DUMMYFUNCTION("""COMPUTED_VALUE"""),300)</f>
        <v>300</v>
      </c>
      <c r="AG90" s="103">
        <f ca="1">IFERROR(__xludf.DUMMYFUNCTION("""COMPUTED_VALUE"""),6)</f>
        <v>6</v>
      </c>
      <c r="AH90" s="103">
        <f ca="1">IFERROR(__xludf.DUMMYFUNCTION("""COMPUTED_VALUE"""),29)</f>
        <v>29</v>
      </c>
      <c r="AI90" s="103">
        <f ca="1">IFERROR(__xludf.DUMMYFUNCTION("""COMPUTED_VALUE"""),1030)</f>
        <v>1030</v>
      </c>
      <c r="AJ90" s="103" t="str">
        <f ca="1">IFERROR(__xludf.DUMMYFUNCTION("""COMPUTED_VALUE"""),"MORS")</f>
        <v>MORS</v>
      </c>
      <c r="AK90" s="103">
        <f ca="1">IFERROR(__xludf.DUMMYFUNCTION("""COMPUTED_VALUE"""),20)</f>
        <v>20</v>
      </c>
      <c r="AL90" s="103"/>
      <c r="AM90" s="103"/>
      <c r="AN90" s="103"/>
      <c r="AO90" s="57">
        <f ca="1">IFERROR(__xludf.DUMMYFUNCTION("""COMPUTED_VALUE"""),2)</f>
        <v>2</v>
      </c>
      <c r="AP90" s="103">
        <f ca="1">IFERROR(__xludf.DUMMYFUNCTION("""COMPUTED_VALUE"""),1)</f>
        <v>1</v>
      </c>
    </row>
    <row r="91" spans="1:42">
      <c r="A91" s="103">
        <f ca="1">IFERROR(__xludf.DUMMYFUNCTION("""COMPUTED_VALUE"""),12)</f>
        <v>12</v>
      </c>
      <c r="B91" s="103" t="str">
        <f ca="1">IFERROR(__xludf.DUMMYFUNCTION("""COMPUTED_VALUE"""),"SHW")</f>
        <v>SHW</v>
      </c>
      <c r="C91" s="103" t="str">
        <f ca="1">IFERROR(__xludf.DUMMYFUNCTION("""COMPUTED_VALUE"""),"N")</f>
        <v>N</v>
      </c>
      <c r="D91" s="103">
        <f ca="1">IFERROR(__xludf.DUMMYFUNCTION("""COMPUTED_VALUE"""),281191234)</f>
        <v>281191234</v>
      </c>
      <c r="E91" s="103" t="str">
        <f ca="1">IFERROR(__xludf.DUMMYFUNCTION("""COMPUTED_VALUE"""),"Purple Finch")</f>
        <v>Purple Finch</v>
      </c>
      <c r="F91" s="103" t="str">
        <f ca="1">IFERROR(__xludf.DUMMYFUNCTION("""COMPUTED_VALUE"""),"PUFI")</f>
        <v>PUFI</v>
      </c>
      <c r="G91" s="103">
        <f ca="1">IFERROR(__xludf.DUMMYFUNCTION("""COMPUTED_VALUE"""),2)</f>
        <v>2</v>
      </c>
      <c r="H91" s="103" t="str">
        <f ca="1">IFERROR(__xludf.DUMMYFUNCTION("""COMPUTED_VALUE"""),"J")</f>
        <v>J</v>
      </c>
      <c r="I91" s="103"/>
      <c r="J91" s="103" t="str">
        <f ca="1">IFERROR(__xludf.DUMMYFUNCTION("""COMPUTED_VALUE"""),"FCJ")</f>
        <v>FCJ</v>
      </c>
      <c r="K91" s="103" t="str">
        <f ca="1">IFERROR(__xludf.DUMMYFUNCTION("""COMPUTED_VALUE"""),"U")</f>
        <v>U</v>
      </c>
      <c r="L91" s="103"/>
      <c r="M91" s="103"/>
      <c r="N91" s="103"/>
      <c r="O91" s="103">
        <f ca="1">IFERROR(__xludf.DUMMYFUNCTION("""COMPUTED_VALUE"""),0)</f>
        <v>0</v>
      </c>
      <c r="P91" s="103">
        <f ca="1">IFERROR(__xludf.DUMMYFUNCTION("""COMPUTED_VALUE"""),0)</f>
        <v>0</v>
      </c>
      <c r="Q91" s="103">
        <f ca="1">IFERROR(__xludf.DUMMYFUNCTION("""COMPUTED_VALUE"""),2)</f>
        <v>2</v>
      </c>
      <c r="R91" s="103">
        <f ca="1">IFERROR(__xludf.DUMMYFUNCTION("""COMPUTED_VALUE"""),0)</f>
        <v>0</v>
      </c>
      <c r="S91" s="103" t="str">
        <f ca="1">IFERROR(__xludf.DUMMYFUNCTION("""COMPUTED_VALUE"""),"N")</f>
        <v>N</v>
      </c>
      <c r="T91" s="103">
        <f ca="1">IFERROR(__xludf.DUMMYFUNCTION("""COMPUTED_VALUE"""),1)</f>
        <v>1</v>
      </c>
      <c r="U91" s="103">
        <f ca="1">IFERROR(__xludf.DUMMYFUNCTION("""COMPUTED_VALUE"""),3)</f>
        <v>3</v>
      </c>
      <c r="V91" s="103"/>
      <c r="W91" s="103"/>
      <c r="X91" s="103" t="str">
        <f ca="1">IFERROR(__xludf.DUMMYFUNCTION("""COMPUTED_VALUE"""),"J")</f>
        <v>J</v>
      </c>
      <c r="Y91" s="103"/>
      <c r="Z91" s="103"/>
      <c r="AA91" s="103" t="str">
        <f ca="1">IFERROR(__xludf.DUMMYFUNCTION("""COMPUTED_VALUE"""),"J")</f>
        <v>J</v>
      </c>
      <c r="AB91" s="103" t="str">
        <f ca="1">IFERROR(__xludf.DUMMYFUNCTION("""COMPUTED_VALUE"""),"J")</f>
        <v>J</v>
      </c>
      <c r="AC91" s="103"/>
      <c r="AD91" s="103">
        <f ca="1">IFERROR(__xludf.DUMMYFUNCTION("""COMPUTED_VALUE"""),74)</f>
        <v>74</v>
      </c>
      <c r="AE91" s="103">
        <f ca="1">IFERROR(__xludf.DUMMYFUNCTION("""COMPUTED_VALUE"""),22.4)</f>
        <v>22.4</v>
      </c>
      <c r="AF91" s="103">
        <f ca="1">IFERROR(__xludf.DUMMYFUNCTION("""COMPUTED_VALUE"""),300)</f>
        <v>300</v>
      </c>
      <c r="AG91" s="103">
        <f ca="1">IFERROR(__xludf.DUMMYFUNCTION("""COMPUTED_VALUE"""),6)</f>
        <v>6</v>
      </c>
      <c r="AH91" s="103">
        <f ca="1">IFERROR(__xludf.DUMMYFUNCTION("""COMPUTED_VALUE"""),29)</f>
        <v>29</v>
      </c>
      <c r="AI91" s="103">
        <f ca="1">IFERROR(__xludf.DUMMYFUNCTION("""COMPUTED_VALUE"""),1030)</f>
        <v>1030</v>
      </c>
      <c r="AJ91" s="103" t="str">
        <f ca="1">IFERROR(__xludf.DUMMYFUNCTION("""COMPUTED_VALUE"""),"MORS")</f>
        <v>MORS</v>
      </c>
      <c r="AK91" s="103">
        <f ca="1">IFERROR(__xludf.DUMMYFUNCTION("""COMPUTED_VALUE"""),15)</f>
        <v>15</v>
      </c>
      <c r="AL91" s="103"/>
      <c r="AM91" s="103"/>
      <c r="AN91" s="103"/>
      <c r="AO91" s="57">
        <f ca="1">IFERROR(__xludf.DUMMYFUNCTION("""COMPUTED_VALUE"""),1)</f>
        <v>1</v>
      </c>
      <c r="AP91" s="103">
        <f ca="1">IFERROR(__xludf.DUMMYFUNCTION("""COMPUTED_VALUE"""),1)</f>
        <v>1</v>
      </c>
    </row>
    <row r="92" spans="1:42">
      <c r="A92" s="103">
        <f ca="1">IFERROR(__xludf.DUMMYFUNCTION("""COMPUTED_VALUE"""),13)</f>
        <v>13</v>
      </c>
      <c r="B92" s="103" t="str">
        <f ca="1">IFERROR(__xludf.DUMMYFUNCTION("""COMPUTED_VALUE"""),"SHW")</f>
        <v>SHW</v>
      </c>
      <c r="C92" s="103" t="str">
        <f ca="1">IFERROR(__xludf.DUMMYFUNCTION("""COMPUTED_VALUE"""),"R")</f>
        <v>R</v>
      </c>
      <c r="D92" s="103">
        <f ca="1">IFERROR(__xludf.DUMMYFUNCTION("""COMPUTED_VALUE"""),288029933)</f>
        <v>288029933</v>
      </c>
      <c r="E92" s="103" t="str">
        <f ca="1">IFERROR(__xludf.DUMMYFUNCTION("""COMPUTED_VALUE"""),"Willow flycatcher")</f>
        <v>Willow flycatcher</v>
      </c>
      <c r="F92" s="103" t="str">
        <f ca="1">IFERROR(__xludf.DUMMYFUNCTION("""COMPUTED_VALUE"""),"WIFL")</f>
        <v>WIFL</v>
      </c>
      <c r="G92" s="103">
        <f ca="1">IFERROR(__xludf.DUMMYFUNCTION("""COMPUTED_VALUE"""),2)</f>
        <v>2</v>
      </c>
      <c r="H92" s="103" t="str">
        <f ca="1">IFERROR(__xludf.DUMMYFUNCTION("""COMPUTED_VALUE"""),"P")</f>
        <v>P</v>
      </c>
      <c r="I92" s="103"/>
      <c r="J92" s="103" t="str">
        <f ca="1">IFERROR(__xludf.DUMMYFUNCTION("""COMPUTED_VALUE"""),"FCF")</f>
        <v>FCF</v>
      </c>
      <c r="K92" s="103" t="str">
        <f ca="1">IFERROR(__xludf.DUMMYFUNCTION("""COMPUTED_VALUE"""),"M")</f>
        <v>M</v>
      </c>
      <c r="L92" s="103" t="str">
        <f ca="1">IFERROR(__xludf.DUMMYFUNCTION("""COMPUTED_VALUE"""),"C")</f>
        <v>C</v>
      </c>
      <c r="M92" s="103"/>
      <c r="N92" s="103"/>
      <c r="O92" s="103">
        <f ca="1">IFERROR(__xludf.DUMMYFUNCTION("""COMPUTED_VALUE"""),1)</f>
        <v>1</v>
      </c>
      <c r="P92" s="103">
        <f ca="1">IFERROR(__xludf.DUMMYFUNCTION("""COMPUTED_VALUE"""),0)</f>
        <v>0</v>
      </c>
      <c r="Q92" s="103">
        <f ca="1">IFERROR(__xludf.DUMMYFUNCTION("""COMPUTED_VALUE"""),1)</f>
        <v>1</v>
      </c>
      <c r="R92" s="103">
        <f ca="1">IFERROR(__xludf.DUMMYFUNCTION("""COMPUTED_VALUE"""),1)</f>
        <v>1</v>
      </c>
      <c r="S92" s="103" t="str">
        <f ca="1">IFERROR(__xludf.DUMMYFUNCTION("""COMPUTED_VALUE"""),"N")</f>
        <v>N</v>
      </c>
      <c r="T92" s="103">
        <f ca="1">IFERROR(__xludf.DUMMYFUNCTION("""COMPUTED_VALUE"""),1)</f>
        <v>1</v>
      </c>
      <c r="U92" s="103"/>
      <c r="V92" s="103" t="str">
        <f ca="1">IFERROR(__xludf.DUMMYFUNCTION("""COMPUTED_VALUE"""),"L")</f>
        <v>L</v>
      </c>
      <c r="W92" s="103"/>
      <c r="X92" s="103" t="str">
        <f ca="1">IFERROR(__xludf.DUMMYFUNCTION("""COMPUTED_VALUE"""),"L")</f>
        <v>L</v>
      </c>
      <c r="Y92" s="103" t="str">
        <f ca="1">IFERROR(__xludf.DUMMYFUNCTION("""COMPUTED_VALUE"""),"L")</f>
        <v>L</v>
      </c>
      <c r="Z92" s="103"/>
      <c r="AA92" s="103"/>
      <c r="AB92" s="103"/>
      <c r="AC92" s="103"/>
      <c r="AD92" s="103">
        <f ca="1">IFERROR(__xludf.DUMMYFUNCTION("""COMPUTED_VALUE"""),67)</f>
        <v>67</v>
      </c>
      <c r="AE92" s="103">
        <f ca="1">IFERROR(__xludf.DUMMYFUNCTION("""COMPUTED_VALUE"""),13.4)</f>
        <v>13.4</v>
      </c>
      <c r="AF92" s="103">
        <f ca="1">IFERROR(__xludf.DUMMYFUNCTION("""COMPUTED_VALUE"""),300)</f>
        <v>300</v>
      </c>
      <c r="AG92" s="103">
        <f ca="1">IFERROR(__xludf.DUMMYFUNCTION("""COMPUTED_VALUE"""),6)</f>
        <v>6</v>
      </c>
      <c r="AH92" s="103">
        <f ca="1">IFERROR(__xludf.DUMMYFUNCTION("""COMPUTED_VALUE"""),29)</f>
        <v>29</v>
      </c>
      <c r="AI92" s="103">
        <f ca="1">IFERROR(__xludf.DUMMYFUNCTION("""COMPUTED_VALUE"""),1030)</f>
        <v>1030</v>
      </c>
      <c r="AJ92" s="103" t="str">
        <f ca="1">IFERROR(__xludf.DUMMYFUNCTION("""COMPUTED_VALUE"""),"MORS")</f>
        <v>MORS</v>
      </c>
      <c r="AK92" s="103">
        <f ca="1">IFERROR(__xludf.DUMMYFUNCTION("""COMPUTED_VALUE"""),21)</f>
        <v>21</v>
      </c>
      <c r="AL92" s="103"/>
      <c r="AM92" s="103">
        <f ca="1">IFERROR(__xludf.DUMMYFUNCTION("""COMPUTED_VALUE"""),6)</f>
        <v>6</v>
      </c>
      <c r="AN92" s="103" t="str">
        <f ca="1">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 ca="1">IFERROR(__xludf.DUMMYFUNCTION("""COMPUTED_VALUE"""),"R")</f>
        <v>R</v>
      </c>
      <c r="AP92" s="103">
        <f ca="1">IFERROR(__xludf.DUMMYFUNCTION("""COMPUTED_VALUE"""),1)</f>
        <v>1</v>
      </c>
    </row>
    <row r="93" spans="1:42">
      <c r="A93" s="103">
        <f ca="1">IFERROR(__xludf.DUMMYFUNCTION("""COMPUTED_VALUE"""),14)</f>
        <v>14</v>
      </c>
      <c r="B93" s="103" t="str">
        <f ca="1">IFERROR(__xludf.DUMMYFUNCTION("""COMPUTED_VALUE"""),"NDS")</f>
        <v>NDS</v>
      </c>
      <c r="C93" s="103" t="str">
        <f ca="1">IFERROR(__xludf.DUMMYFUNCTION("""COMPUTED_VALUE"""),"U")</f>
        <v>U</v>
      </c>
      <c r="D93" s="103"/>
      <c r="E93" s="103" t="str">
        <f ca="1">IFERROR(__xludf.DUMMYFUNCTION("""COMPUTED_VALUE"""),"Chipping Sparrow")</f>
        <v>Chipping Sparrow</v>
      </c>
      <c r="F93" s="103" t="str">
        <f ca="1">IFERROR(__xludf.DUMMYFUNCTION("""COMPUTED_VALUE"""),"CHSP")</f>
        <v>CHSP</v>
      </c>
      <c r="G93" s="103">
        <f ca="1">IFERROR(__xludf.DUMMYFUNCTION("""COMPUTED_VALUE"""),1)</f>
        <v>1</v>
      </c>
      <c r="H93" s="103" t="str">
        <f ca="1">IFERROR(__xludf.DUMMYFUNCTION("""COMPUTED_VALUE"""),"P")</f>
        <v>P</v>
      </c>
      <c r="I93" s="103"/>
      <c r="J93" s="103" t="str">
        <f ca="1">IFERROR(__xludf.DUMMYFUNCTION("""COMPUTED_VALUE"""),"UAJ")</f>
        <v>UAJ</v>
      </c>
      <c r="K93" s="103" t="str">
        <f ca="1">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 ca="1">IFERROR(__xludf.DUMMYFUNCTION("""COMPUTED_VALUE"""),6)</f>
        <v>6</v>
      </c>
      <c r="AH93" s="103">
        <f ca="1">IFERROR(__xludf.DUMMYFUNCTION("""COMPUTED_VALUE"""),29)</f>
        <v>29</v>
      </c>
      <c r="AI93" s="103">
        <f ca="1">IFERROR(__xludf.DUMMYFUNCTION("""COMPUTED_VALUE"""),1100)</f>
        <v>1100</v>
      </c>
      <c r="AJ93" s="103" t="str">
        <f ca="1">IFERROR(__xludf.DUMMYFUNCTION("""COMPUTED_VALUE"""),"MORS")</f>
        <v>MORS</v>
      </c>
      <c r="AK93" s="103">
        <f ca="1">IFERROR(__xludf.DUMMYFUNCTION("""COMPUTED_VALUE"""),21)</f>
        <v>21</v>
      </c>
      <c r="AL93" s="103"/>
      <c r="AM93" s="103"/>
      <c r="AN93" s="103"/>
      <c r="AO93" s="57" t="str">
        <f ca="1">IFERROR(__xludf.DUMMYFUNCTION("""COMPUTED_VALUE"""),"U")</f>
        <v>U</v>
      </c>
      <c r="AP93" s="103">
        <f ca="1">IFERROR(__xludf.DUMMYFUNCTION("""COMPUTED_VALUE"""),1)</f>
        <v>1</v>
      </c>
    </row>
    <row r="94" spans="1:42">
      <c r="A94" s="103">
        <f ca="1">IFERROR(__xludf.DUMMYFUNCTION("""COMPUTED_VALUE"""),1)</f>
        <v>1</v>
      </c>
      <c r="B94" s="103" t="str">
        <f ca="1">IFERROR(__xludf.DUMMYFUNCTION("""COMPUTED_VALUE"""),"JSM")</f>
        <v>JSM</v>
      </c>
      <c r="C94" s="103" t="str">
        <f ca="1">IFERROR(__xludf.DUMMYFUNCTION("""COMPUTED_VALUE"""),"R")</f>
        <v>R</v>
      </c>
      <c r="D94" s="103">
        <f ca="1">IFERROR(__xludf.DUMMYFUNCTION("""COMPUTED_VALUE"""),221115696)</f>
        <v>221115696</v>
      </c>
      <c r="E94" s="103" t="str">
        <f ca="1">IFERROR(__xludf.DUMMYFUNCTION("""COMPUTED_VALUE"""),"Spotted Towhee")</f>
        <v>Spotted Towhee</v>
      </c>
      <c r="F94" s="103" t="str">
        <f ca="1">IFERROR(__xludf.DUMMYFUNCTION("""COMPUTED_VALUE"""),"SPTO")</f>
        <v>SPTO</v>
      </c>
      <c r="G94" s="103">
        <f ca="1">IFERROR(__xludf.DUMMYFUNCTION("""COMPUTED_VALUE"""),1)</f>
        <v>1</v>
      </c>
      <c r="H94" s="103"/>
      <c r="I94" s="103"/>
      <c r="J94" s="103" t="str">
        <f ca="1">IFERROR(__xludf.DUMMYFUNCTION("""COMPUTED_VALUE"""),"FPF")</f>
        <v>FPF</v>
      </c>
      <c r="K94" s="103" t="str">
        <f ca="1">IFERROR(__xludf.DUMMYFUNCTION("""COMPUTED_VALUE"""),"F")</f>
        <v>F</v>
      </c>
      <c r="L94" s="103" t="str">
        <f ca="1">IFERROR(__xludf.DUMMYFUNCTION("""COMPUTED_VALUE"""),"B")</f>
        <v>B</v>
      </c>
      <c r="M94" s="103"/>
      <c r="N94" s="103"/>
      <c r="O94" s="103"/>
      <c r="P94" s="103">
        <f ca="1">IFERROR(__xludf.DUMMYFUNCTION("""COMPUTED_VALUE"""),3)</f>
        <v>3</v>
      </c>
      <c r="Q94" s="103">
        <f ca="1">IFERROR(__xludf.DUMMYFUNCTION("""COMPUTED_VALUE"""),0)</f>
        <v>0</v>
      </c>
      <c r="R94" s="103">
        <f ca="1">IFERROR(__xludf.DUMMYFUNCTION("""COMPUTED_VALUE"""),0)</f>
        <v>0</v>
      </c>
      <c r="S94" s="103" t="str">
        <f ca="1">IFERROR(__xludf.DUMMYFUNCTION("""COMPUTED_VALUE"""),"S")</f>
        <v>S</v>
      </c>
      <c r="T94" s="103"/>
      <c r="U94" s="103"/>
      <c r="V94" s="103"/>
      <c r="W94" s="103"/>
      <c r="X94" s="103" t="str">
        <f ca="1">IFERROR(__xludf.DUMMYFUNCTION("""COMPUTED_VALUE"""),"M")</f>
        <v>M</v>
      </c>
      <c r="Y94" s="103"/>
      <c r="Z94" s="103"/>
      <c r="AA94" s="103"/>
      <c r="AB94" s="103"/>
      <c r="AC94" s="103"/>
      <c r="AD94" s="103"/>
      <c r="AE94" s="103"/>
      <c r="AF94" s="103"/>
      <c r="AG94" s="103">
        <f ca="1">IFERROR(__xludf.DUMMYFUNCTION("""COMPUTED_VALUE"""),6)</f>
        <v>6</v>
      </c>
      <c r="AH94" s="103">
        <f ca="1">IFERROR(__xludf.DUMMYFUNCTION("""COMPUTED_VALUE"""),29)</f>
        <v>29</v>
      </c>
      <c r="AI94" s="103">
        <f ca="1">IFERROR(__xludf.DUMMYFUNCTION("""COMPUTED_VALUE"""),640)</f>
        <v>640</v>
      </c>
      <c r="AJ94" s="103" t="str">
        <f ca="1">IFERROR(__xludf.DUMMYFUNCTION("""COMPUTED_VALUE"""),"MORS")</f>
        <v>MORS</v>
      </c>
      <c r="AK94" s="103">
        <f ca="1">IFERROR(__xludf.DUMMYFUNCTION("""COMPUTED_VALUE"""),2)</f>
        <v>2</v>
      </c>
      <c r="AL94" s="103"/>
      <c r="AM94" s="103"/>
      <c r="AN94" s="103"/>
      <c r="AO94" s="57" t="str">
        <f ca="1">IFERROR(__xludf.DUMMYFUNCTION("""COMPUTED_VALUE"""),"R")</f>
        <v>R</v>
      </c>
      <c r="AP94" s="103">
        <f ca="1">IFERROR(__xludf.DUMMYFUNCTION("""COMPUTED_VALUE"""),2)</f>
        <v>2</v>
      </c>
    </row>
    <row r="95" spans="1:42">
      <c r="A95" s="103">
        <f ca="1">IFERROR(__xludf.DUMMYFUNCTION("""COMPUTED_VALUE"""),2)</f>
        <v>2</v>
      </c>
      <c r="B95" s="103" t="str">
        <f ca="1">IFERROR(__xludf.DUMMYFUNCTION("""COMPUTED_VALUE"""),"JSM")</f>
        <v>JSM</v>
      </c>
      <c r="C95" s="103" t="str">
        <f ca="1">IFERROR(__xludf.DUMMYFUNCTION("""COMPUTED_VALUE"""),"R")</f>
        <v>R</v>
      </c>
      <c r="D95" s="103">
        <f ca="1">IFERROR(__xludf.DUMMYFUNCTION("""COMPUTED_VALUE"""),283105290)</f>
        <v>283105290</v>
      </c>
      <c r="E95" s="103" t="str">
        <f ca="1">IFERROR(__xludf.DUMMYFUNCTION("""COMPUTED_VALUE"""),"Swainson's Thrush")</f>
        <v>Swainson's Thrush</v>
      </c>
      <c r="F95" s="103" t="str">
        <f ca="1">IFERROR(__xludf.DUMMYFUNCTION("""COMPUTED_VALUE"""),"SWTH")</f>
        <v>SWTH</v>
      </c>
      <c r="G95" s="103">
        <f ca="1">IFERROR(__xludf.DUMMYFUNCTION("""COMPUTED_VALUE"""),1)</f>
        <v>1</v>
      </c>
      <c r="H95" s="103"/>
      <c r="I95" s="103"/>
      <c r="J95" s="103" t="str">
        <f ca="1">IFERROR(__xludf.DUMMYFUNCTION("""COMPUTED_VALUE"""),"UAJ")</f>
        <v>UAJ</v>
      </c>
      <c r="K95" s="103" t="str">
        <f ca="1">IFERROR(__xludf.DUMMYFUNCTION("""COMPUTED_VALUE"""),"F")</f>
        <v>F</v>
      </c>
      <c r="L95" s="103" t="str">
        <f ca="1">IFERROR(__xludf.DUMMYFUNCTION("""COMPUTED_VALUE"""),"B")</f>
        <v>B</v>
      </c>
      <c r="M95" s="103"/>
      <c r="N95" s="103"/>
      <c r="O95" s="103"/>
      <c r="P95" s="103">
        <f ca="1">IFERROR(__xludf.DUMMYFUNCTION("""COMPUTED_VALUE"""),3)</f>
        <v>3</v>
      </c>
      <c r="Q95" s="103">
        <f ca="1">IFERROR(__xludf.DUMMYFUNCTION("""COMPUTED_VALUE"""),1)</f>
        <v>1</v>
      </c>
      <c r="R95" s="103">
        <f ca="1">IFERROR(__xludf.DUMMYFUNCTION("""COMPUTED_VALUE"""),0)</f>
        <v>0</v>
      </c>
      <c r="S95" s="103" t="str">
        <f ca="1">IFERROR(__xludf.DUMMYFUNCTION("""COMPUTED_VALUE"""),"N")</f>
        <v>N</v>
      </c>
      <c r="T95" s="103">
        <f ca="1">IFERROR(__xludf.DUMMYFUNCTION("""COMPUTED_VALUE"""),3)</f>
        <v>3</v>
      </c>
      <c r="U95" s="103"/>
      <c r="V95" s="103"/>
      <c r="W95" s="103"/>
      <c r="X95" s="103"/>
      <c r="Y95" s="103"/>
      <c r="Z95" s="103"/>
      <c r="AA95" s="103" t="str">
        <f ca="1">IFERROR(__xludf.DUMMYFUNCTION("""COMPUTED_VALUE"""),"U")</f>
        <v>U</v>
      </c>
      <c r="AB95" s="103"/>
      <c r="AC95" s="103"/>
      <c r="AD95" s="103">
        <f ca="1">IFERROR(__xludf.DUMMYFUNCTION("""COMPUTED_VALUE"""),91)</f>
        <v>91</v>
      </c>
      <c r="AE95" s="103">
        <f ca="1">IFERROR(__xludf.DUMMYFUNCTION("""COMPUTED_VALUE"""),29.4)</f>
        <v>29.4</v>
      </c>
      <c r="AF95" s="103"/>
      <c r="AG95" s="103">
        <f ca="1">IFERROR(__xludf.DUMMYFUNCTION("""COMPUTED_VALUE"""),6)</f>
        <v>6</v>
      </c>
      <c r="AH95" s="103">
        <f ca="1">IFERROR(__xludf.DUMMYFUNCTION("""COMPUTED_VALUE"""),29)</f>
        <v>29</v>
      </c>
      <c r="AI95" s="103">
        <f ca="1">IFERROR(__xludf.DUMMYFUNCTION("""COMPUTED_VALUE"""),640)</f>
        <v>640</v>
      </c>
      <c r="AJ95" s="103" t="str">
        <f ca="1">IFERROR(__xludf.DUMMYFUNCTION("""COMPUTED_VALUE"""),"MORS")</f>
        <v>MORS</v>
      </c>
      <c r="AK95" s="103">
        <f ca="1">IFERROR(__xludf.DUMMYFUNCTION("""COMPUTED_VALUE"""),14)</f>
        <v>14</v>
      </c>
      <c r="AL95" s="103"/>
      <c r="AM95" s="103">
        <f ca="1">IFERROR(__xludf.DUMMYFUNCTION("""COMPUTED_VALUE"""),1)</f>
        <v>1</v>
      </c>
      <c r="AN95" s="103" t="str">
        <f ca="1">IFERROR(__xludf.DUMMYFUNCTION("""COMPUTED_VALUE"""),"P10 11mm longer than ppcov")</f>
        <v>P10 11mm longer than ppcov</v>
      </c>
      <c r="AO95" s="57" t="str">
        <f ca="1">IFERROR(__xludf.DUMMYFUNCTION("""COMPUTED_VALUE"""),"R")</f>
        <v>R</v>
      </c>
      <c r="AP95" s="103">
        <f ca="1">IFERROR(__xludf.DUMMYFUNCTION("""COMPUTED_VALUE"""),2)</f>
        <v>2</v>
      </c>
    </row>
    <row r="96" spans="1:42">
      <c r="A96" s="103">
        <f ca="1">IFERROR(__xludf.DUMMYFUNCTION("""COMPUTED_VALUE"""),3)</f>
        <v>3</v>
      </c>
      <c r="B96" s="103" t="str">
        <f ca="1">IFERROR(__xludf.DUMMYFUNCTION("""COMPUTED_VALUE"""),"JSM")</f>
        <v>JSM</v>
      </c>
      <c r="C96" s="103" t="str">
        <f ca="1">IFERROR(__xludf.DUMMYFUNCTION("""COMPUTED_VALUE"""),"R")</f>
        <v>R</v>
      </c>
      <c r="D96" s="103">
        <f ca="1">IFERROR(__xludf.DUMMYFUNCTION("""COMPUTED_VALUE"""),283105227)</f>
        <v>283105227</v>
      </c>
      <c r="E96" s="103" t="str">
        <f ca="1">IFERROR(__xludf.DUMMYFUNCTION("""COMPUTED_VALUE"""),"Swainson's Thrush")</f>
        <v>Swainson's Thrush</v>
      </c>
      <c r="F96" s="103" t="str">
        <f ca="1">IFERROR(__xludf.DUMMYFUNCTION("""COMPUTED_VALUE"""),"SWTH")</f>
        <v>SWTH</v>
      </c>
      <c r="G96" s="103">
        <f ca="1">IFERROR(__xludf.DUMMYFUNCTION("""COMPUTED_VALUE"""),1)</f>
        <v>1</v>
      </c>
      <c r="H96" s="103"/>
      <c r="I96" s="103"/>
      <c r="J96" s="103" t="str">
        <f ca="1">IFERROR(__xludf.DUMMYFUNCTION("""COMPUTED_VALUE"""),"UAJ")</f>
        <v>UAJ</v>
      </c>
      <c r="K96" s="103" t="str">
        <f ca="1">IFERROR(__xludf.DUMMYFUNCTION("""COMPUTED_VALUE"""),"M")</f>
        <v>M</v>
      </c>
      <c r="L96" s="103" t="str">
        <f ca="1">IFERROR(__xludf.DUMMYFUNCTION("""COMPUTED_VALUE"""),"C")</f>
        <v>C</v>
      </c>
      <c r="M96" s="103"/>
      <c r="N96" s="103"/>
      <c r="O96" s="103">
        <f ca="1">IFERROR(__xludf.DUMMYFUNCTION("""COMPUTED_VALUE"""),3)</f>
        <v>3</v>
      </c>
      <c r="P96" s="103">
        <f ca="1">IFERROR(__xludf.DUMMYFUNCTION("""COMPUTED_VALUE"""),0)</f>
        <v>0</v>
      </c>
      <c r="Q96" s="103">
        <f ca="1">IFERROR(__xludf.DUMMYFUNCTION("""COMPUTED_VALUE"""),0)</f>
        <v>0</v>
      </c>
      <c r="R96" s="103">
        <f ca="1">IFERROR(__xludf.DUMMYFUNCTION("""COMPUTED_VALUE"""),0)</f>
        <v>0</v>
      </c>
      <c r="S96" s="103" t="str">
        <f ca="1">IFERROR(__xludf.DUMMYFUNCTION("""COMPUTED_VALUE"""),"N")</f>
        <v>N</v>
      </c>
      <c r="T96" s="103"/>
      <c r="U96" s="103"/>
      <c r="V96" s="103"/>
      <c r="W96" s="103"/>
      <c r="X96" s="103" t="str">
        <f ca="1">IFERROR(__xludf.DUMMYFUNCTION("""COMPUTED_VALUE"""),"B")</f>
        <v>B</v>
      </c>
      <c r="Y96" s="103"/>
      <c r="Z96" s="103"/>
      <c r="AA96" s="103" t="str">
        <f ca="1">IFERROR(__xludf.DUMMYFUNCTION("""COMPUTED_VALUE"""),"B")</f>
        <v>B</v>
      </c>
      <c r="AB96" s="103"/>
      <c r="AC96" s="103"/>
      <c r="AD96" s="103">
        <f ca="1">IFERROR(__xludf.DUMMYFUNCTION("""COMPUTED_VALUE"""),95)</f>
        <v>95</v>
      </c>
      <c r="AE96" s="103">
        <f ca="1">IFERROR(__xludf.DUMMYFUNCTION("""COMPUTED_VALUE"""),28.3)</f>
        <v>28.3</v>
      </c>
      <c r="AF96" s="103"/>
      <c r="AG96" s="103">
        <f ca="1">IFERROR(__xludf.DUMMYFUNCTION("""COMPUTED_VALUE"""),6)</f>
        <v>6</v>
      </c>
      <c r="AH96" s="103">
        <f ca="1">IFERROR(__xludf.DUMMYFUNCTION("""COMPUTED_VALUE"""),29)</f>
        <v>29</v>
      </c>
      <c r="AI96" s="103">
        <f ca="1">IFERROR(__xludf.DUMMYFUNCTION("""COMPUTED_VALUE"""),640)</f>
        <v>640</v>
      </c>
      <c r="AJ96" s="103" t="str">
        <f ca="1">IFERROR(__xludf.DUMMYFUNCTION("""COMPUTED_VALUE"""),"MORS")</f>
        <v>MORS</v>
      </c>
      <c r="AK96" s="103">
        <f ca="1">IFERROR(__xludf.DUMMYFUNCTION("""COMPUTED_VALUE"""),8)</f>
        <v>8</v>
      </c>
      <c r="AL96" s="103"/>
      <c r="AM96" s="103">
        <f ca="1">IFERROR(__xludf.DUMMYFUNCTION("""COMPUTED_VALUE"""),2)</f>
        <v>2</v>
      </c>
      <c r="AN96" s="103" t="str">
        <f ca="1">IFERROR(__xludf.DUMMYFUNCTION("""COMPUTED_VALUE"""),"p10 6 mm longer than ppcov")</f>
        <v>p10 6 mm longer than ppcov</v>
      </c>
      <c r="AO96" s="57" t="str">
        <f ca="1">IFERROR(__xludf.DUMMYFUNCTION("""COMPUTED_VALUE"""),"R")</f>
        <v>R</v>
      </c>
      <c r="AP96" s="103">
        <f ca="1">IFERROR(__xludf.DUMMYFUNCTION("""COMPUTED_VALUE"""),2)</f>
        <v>2</v>
      </c>
    </row>
    <row r="97" spans="1:72">
      <c r="A97" s="103">
        <f ca="1">IFERROR(__xludf.DUMMYFUNCTION("""COMPUTED_VALUE"""),4)</f>
        <v>4</v>
      </c>
      <c r="B97" s="103" t="str">
        <f ca="1">IFERROR(__xludf.DUMMYFUNCTION("""COMPUTED_VALUE"""),"JSM")</f>
        <v>JSM</v>
      </c>
      <c r="C97" s="103" t="str">
        <f ca="1">IFERROR(__xludf.DUMMYFUNCTION("""COMPUTED_VALUE"""),"N")</f>
        <v>N</v>
      </c>
      <c r="D97" s="103">
        <f ca="1">IFERROR(__xludf.DUMMYFUNCTION("""COMPUTED_VALUE"""),172176240)</f>
        <v>172176240</v>
      </c>
      <c r="E97" s="103" t="str">
        <f ca="1">IFERROR(__xludf.DUMMYFUNCTION("""COMPUTED_VALUE"""),"Cedar Waxwing")</f>
        <v>Cedar Waxwing</v>
      </c>
      <c r="F97" s="103" t="str">
        <f ca="1">IFERROR(__xludf.DUMMYFUNCTION("""COMPUTED_VALUE"""),"CEDW")</f>
        <v>CEDW</v>
      </c>
      <c r="G97" s="103">
        <f ca="1">IFERROR(__xludf.DUMMYFUNCTION("""COMPUTED_VALUE"""),5)</f>
        <v>5</v>
      </c>
      <c r="H97" s="103"/>
      <c r="I97" s="103"/>
      <c r="J97" s="103" t="str">
        <f ca="1">IFERROR(__xludf.DUMMYFUNCTION("""COMPUTED_VALUE"""),"FCF")</f>
        <v>FCF</v>
      </c>
      <c r="K97" s="103" t="str">
        <f ca="1">IFERROR(__xludf.DUMMYFUNCTION("""COMPUTED_VALUE"""),"M")</f>
        <v>M</v>
      </c>
      <c r="L97" s="103" t="str">
        <f ca="1">IFERROR(__xludf.DUMMYFUNCTION("""COMPUTED_VALUE"""),"C")</f>
        <v>C</v>
      </c>
      <c r="M97" s="103"/>
      <c r="N97" s="103"/>
      <c r="O97" s="103">
        <f ca="1">IFERROR(__xludf.DUMMYFUNCTION("""COMPUTED_VALUE"""),2)</f>
        <v>2</v>
      </c>
      <c r="P97" s="103">
        <f ca="1">IFERROR(__xludf.DUMMYFUNCTION("""COMPUTED_VALUE"""),0)</f>
        <v>0</v>
      </c>
      <c r="Q97" s="103">
        <f ca="1">IFERROR(__xludf.DUMMYFUNCTION("""COMPUTED_VALUE"""),0)</f>
        <v>0</v>
      </c>
      <c r="R97" s="103">
        <f ca="1">IFERROR(__xludf.DUMMYFUNCTION("""COMPUTED_VALUE"""),0)</f>
        <v>0</v>
      </c>
      <c r="S97" s="103" t="str">
        <f ca="1">IFERROR(__xludf.DUMMYFUNCTION("""COMPUTED_VALUE"""),"N")</f>
        <v>N</v>
      </c>
      <c r="T97" s="103">
        <f ca="1">IFERROR(__xludf.DUMMYFUNCTION("""COMPUTED_VALUE"""),3)</f>
        <v>3</v>
      </c>
      <c r="U97" s="103"/>
      <c r="V97" s="103"/>
      <c r="W97" s="103"/>
      <c r="X97" s="103"/>
      <c r="Y97" s="103"/>
      <c r="Z97" s="103"/>
      <c r="AA97" s="103"/>
      <c r="AB97" s="103"/>
      <c r="AC97" s="103"/>
      <c r="AD97" s="103">
        <f ca="1">IFERROR(__xludf.DUMMYFUNCTION("""COMPUTED_VALUE"""),90)</f>
        <v>90</v>
      </c>
      <c r="AE97" s="103"/>
      <c r="AF97" s="103"/>
      <c r="AG97" s="103">
        <f ca="1">IFERROR(__xludf.DUMMYFUNCTION("""COMPUTED_VALUE"""),6)</f>
        <v>6</v>
      </c>
      <c r="AH97" s="103">
        <f ca="1">IFERROR(__xludf.DUMMYFUNCTION("""COMPUTED_VALUE"""),29)</f>
        <v>29</v>
      </c>
      <c r="AI97" s="103">
        <f ca="1">IFERROR(__xludf.DUMMYFUNCTION("""COMPUTED_VALUE"""),7)</f>
        <v>7</v>
      </c>
      <c r="AJ97" s="103" t="str">
        <f ca="1">IFERROR(__xludf.DUMMYFUNCTION("""COMPUTED_VALUE"""),"MORS")</f>
        <v>MORS</v>
      </c>
      <c r="AK97" s="103">
        <f ca="1">IFERROR(__xludf.DUMMYFUNCTION("""COMPUTED_VALUE"""),21)</f>
        <v>21</v>
      </c>
      <c r="AL97" s="103"/>
      <c r="AM97" s="103">
        <f ca="1">IFERROR(__xludf.DUMMYFUNCTION("""COMPUTED_VALUE"""),3)</f>
        <v>3</v>
      </c>
      <c r="AN97" s="103" t="str">
        <f ca="1">IFERROR(__xludf.DUMMYFUNCTION("""COMPUTED_VALUE"""),"Yellow on tail 3.5mm. No red wax")</f>
        <v>Yellow on tail 3.5mm. No red wax</v>
      </c>
      <c r="AO97" s="57" t="str">
        <f ca="1">IFERROR(__xludf.DUMMYFUNCTION("""COMPUTED_VALUE"""),"1B")</f>
        <v>1B</v>
      </c>
      <c r="AP97" s="103">
        <f ca="1">IFERROR(__xludf.DUMMYFUNCTION("""COMPUTED_VALUE"""),2)</f>
        <v>2</v>
      </c>
    </row>
    <row r="98" spans="1:72">
      <c r="A98" s="103">
        <f ca="1">IFERROR(__xludf.DUMMYFUNCTION("""COMPUTED_VALUE"""),5)</f>
        <v>5</v>
      </c>
      <c r="B98" s="103" t="str">
        <f ca="1">IFERROR(__xludf.DUMMYFUNCTION("""COMPUTED_VALUE"""),"JSM")</f>
        <v>JSM</v>
      </c>
      <c r="C98" s="105" t="str">
        <f ca="1">IFERROR(__xludf.DUMMYFUNCTION("""COMPUTED_VALUE"""),"N")</f>
        <v>N</v>
      </c>
      <c r="D98" s="106">
        <f ca="1">IFERROR(__xludf.DUMMYFUNCTION("""COMPUTED_VALUE"""),135291873)</f>
        <v>135291873</v>
      </c>
      <c r="E98" s="107" t="str">
        <f ca="1">IFERROR(__xludf.DUMMYFUNCTION("""COMPUTED_VALUE"""),"Spotted Towhee")</f>
        <v>Spotted Towhee</v>
      </c>
      <c r="F98" s="107" t="str">
        <f ca="1">IFERROR(__xludf.DUMMYFUNCTION("""COMPUTED_VALUE"""),"SPTO")</f>
        <v>SPTO</v>
      </c>
      <c r="G98" s="105">
        <f ca="1">IFERROR(__xludf.DUMMYFUNCTION("""COMPUTED_VALUE"""),2)</f>
        <v>2</v>
      </c>
      <c r="H98" s="105"/>
      <c r="I98" s="105"/>
      <c r="J98" s="105" t="str">
        <f ca="1">IFERROR(__xludf.DUMMYFUNCTION("""COMPUTED_VALUE"""),"FCJ")</f>
        <v>FCJ</v>
      </c>
      <c r="K98" s="107" t="str">
        <f ca="1">IFERROR(__xludf.DUMMYFUNCTION("""COMPUTED_VALUE"""),"U")</f>
        <v>U</v>
      </c>
      <c r="L98" s="107"/>
      <c r="M98" s="107"/>
      <c r="N98" s="107"/>
      <c r="O98" s="107">
        <f ca="1">IFERROR(__xludf.DUMMYFUNCTION("""COMPUTED_VALUE"""),0)</f>
        <v>0</v>
      </c>
      <c r="P98" s="107">
        <f ca="1">IFERROR(__xludf.DUMMYFUNCTION("""COMPUTED_VALUE"""),0)</f>
        <v>0</v>
      </c>
      <c r="Q98" s="107">
        <f ca="1">IFERROR(__xludf.DUMMYFUNCTION("""COMPUTED_VALUE"""),0)</f>
        <v>0</v>
      </c>
      <c r="R98" s="107">
        <f ca="1">IFERROR(__xludf.DUMMYFUNCTION("""COMPUTED_VALUE"""),0)</f>
        <v>0</v>
      </c>
      <c r="S98" s="107" t="str">
        <f ca="1">IFERROR(__xludf.DUMMYFUNCTION("""COMPUTED_VALUE"""),"N")</f>
        <v>N</v>
      </c>
      <c r="T98" s="107">
        <f ca="1">IFERROR(__xludf.DUMMYFUNCTION("""COMPUTED_VALUE"""),0)</f>
        <v>0</v>
      </c>
      <c r="U98" s="108">
        <f ca="1">IFERROR(__xludf.DUMMYFUNCTION("""COMPUTED_VALUE"""),3)</f>
        <v>3</v>
      </c>
      <c r="V98" s="108" t="str">
        <f ca="1">IFERROR(__xludf.DUMMYFUNCTION("""COMPUTED_VALUE"""),"J")</f>
        <v>J</v>
      </c>
      <c r="W98" s="108"/>
      <c r="X98" s="108"/>
      <c r="Y98" s="107"/>
      <c r="Z98" s="107"/>
      <c r="AA98" s="109" t="str">
        <f ca="1">IFERROR(__xludf.DUMMYFUNCTION("""COMPUTED_VALUE"""),"J")</f>
        <v>J</v>
      </c>
      <c r="AB98" s="109"/>
      <c r="AC98" s="107"/>
      <c r="AD98" s="107">
        <f ca="1">IFERROR(__xludf.DUMMYFUNCTION("""COMPUTED_VALUE"""),78)</f>
        <v>78</v>
      </c>
      <c r="AE98" s="107">
        <f ca="1">IFERROR(__xludf.DUMMYFUNCTION("""COMPUTED_VALUE"""),38.3)</f>
        <v>38.299999999999997</v>
      </c>
      <c r="AF98" s="107"/>
      <c r="AG98" s="107">
        <f ca="1">IFERROR(__xludf.DUMMYFUNCTION("""COMPUTED_VALUE"""),6)</f>
        <v>6</v>
      </c>
      <c r="AH98" s="107">
        <f ca="1">IFERROR(__xludf.DUMMYFUNCTION("""COMPUTED_VALUE"""),29)</f>
        <v>29</v>
      </c>
      <c r="AI98" s="107">
        <f ca="1">IFERROR(__xludf.DUMMYFUNCTION("""COMPUTED_VALUE"""),8)</f>
        <v>8</v>
      </c>
      <c r="AJ98" s="107" t="str">
        <f ca="1">IFERROR(__xludf.DUMMYFUNCTION("""COMPUTED_VALUE"""),"MORS")</f>
        <v>MORS</v>
      </c>
      <c r="AK98" s="107">
        <f ca="1">IFERROR(__xludf.DUMMYFUNCTION("""COMPUTED_VALUE"""),5)</f>
        <v>5</v>
      </c>
      <c r="AL98" s="107"/>
      <c r="AM98" s="107">
        <f ca="1">IFERROR(__xludf.DUMMYFUNCTION("""COMPUTED_VALUE"""),4)</f>
        <v>4</v>
      </c>
      <c r="AN98" s="105" t="str">
        <f ca="1">IFERROR(__xludf.DUMMYFUNCTION("""COMPUTED_VALUE"""),"White spots only on R6 15mm both sides")</f>
        <v>White spots only on R6 15mm both sides</v>
      </c>
      <c r="AO98" s="110">
        <f ca="1">IFERROR(__xludf.DUMMYFUNCTION("""COMPUTED_VALUE"""),2)</f>
        <v>2</v>
      </c>
      <c r="AP98" s="107">
        <f ca="1">IFERROR(__xludf.DUMMYFUNCTION("""COMPUTED_VALUE"""),2)</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spans="1:72">
      <c r="A99" s="103">
        <f ca="1">IFERROR(__xludf.DUMMYFUNCTION("""COMPUTED_VALUE"""),6)</f>
        <v>6</v>
      </c>
      <c r="B99" s="103" t="str">
        <f ca="1">IFERROR(__xludf.DUMMYFUNCTION("""COMPUTED_VALUE"""),"JSM")</f>
        <v>JSM</v>
      </c>
      <c r="C99" s="103" t="str">
        <f ca="1">IFERROR(__xludf.DUMMYFUNCTION("""COMPUTED_VALUE"""),"U")</f>
        <v>U</v>
      </c>
      <c r="D99" s="103"/>
      <c r="E99" s="103" t="str">
        <f ca="1">IFERROR(__xludf.DUMMYFUNCTION("""COMPUTED_VALUE"""),"Rufus Hummingbird")</f>
        <v>Rufus Hummingbird</v>
      </c>
      <c r="F99" s="103" t="str">
        <f ca="1">IFERROR(__xludf.DUMMYFUNCTION("""COMPUTED_VALUE"""),"RUHU")</f>
        <v>RUHU</v>
      </c>
      <c r="G99" s="103">
        <f ca="1">IFERROR(__xludf.DUMMYFUNCTION("""COMPUTED_VALUE"""),5)</f>
        <v>5</v>
      </c>
      <c r="H99" s="103"/>
      <c r="I99" s="103"/>
      <c r="J99" s="103" t="str">
        <f ca="1">IFERROR(__xludf.DUMMYFUNCTION("""COMPUTED_VALUE"""),"FCF")</f>
        <v>FCF</v>
      </c>
      <c r="K99" s="103" t="str">
        <f ca="1">IFERROR(__xludf.DUMMYFUNCTION("""COMPUTED_VALUE"""),"F")</f>
        <v>F</v>
      </c>
      <c r="L99" s="103" t="str">
        <f ca="1">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 ca="1">IFERROR(__xludf.DUMMYFUNCTION("""COMPUTED_VALUE"""),6)</f>
        <v>6</v>
      </c>
      <c r="AH99" s="103">
        <f ca="1">IFERROR(__xludf.DUMMYFUNCTION("""COMPUTED_VALUE"""),29)</f>
        <v>29</v>
      </c>
      <c r="AI99" s="103">
        <f ca="1">IFERROR(__xludf.DUMMYFUNCTION("""COMPUTED_VALUE"""),8)</f>
        <v>8</v>
      </c>
      <c r="AJ99" s="103" t="str">
        <f ca="1">IFERROR(__xludf.DUMMYFUNCTION("""COMPUTED_VALUE"""),"MORS")</f>
        <v>MORS</v>
      </c>
      <c r="AK99" s="103">
        <f ca="1">IFERROR(__xludf.DUMMYFUNCTION("""COMPUTED_VALUE"""),21)</f>
        <v>21</v>
      </c>
      <c r="AL99" s="103"/>
      <c r="AM99" s="103">
        <f ca="1">IFERROR(__xludf.DUMMYFUNCTION("""COMPUTED_VALUE"""),5)</f>
        <v>5</v>
      </c>
      <c r="AN99" s="103" t="str">
        <f ca="1">IFERROR(__xludf.DUMMYFUNCTION("""COMPUTED_VALUE"""),"No corregations on bill. No gorget colors. Tail shows SY as in figure 3 Pyle")</f>
        <v>No corregations on bill. No gorget colors. Tail shows SY as in figure 3 Pyle</v>
      </c>
      <c r="AO99" s="57" t="str">
        <f ca="1">IFERROR(__xludf.DUMMYFUNCTION("""COMPUTED_VALUE"""),"U")</f>
        <v>U</v>
      </c>
      <c r="AP99" s="103">
        <f ca="1">IFERROR(__xludf.DUMMYFUNCTION("""COMPUTED_VALUE"""),2)</f>
        <v>2</v>
      </c>
    </row>
    <row r="100" spans="1:72">
      <c r="A100" s="103">
        <f ca="1">IFERROR(__xludf.DUMMYFUNCTION("""COMPUTED_VALUE"""),7)</f>
        <v>7</v>
      </c>
      <c r="B100" s="103" t="str">
        <f ca="1">IFERROR(__xludf.DUMMYFUNCTION("""COMPUTED_VALUE"""),"JSM")</f>
        <v>JSM</v>
      </c>
      <c r="C100" s="103" t="str">
        <f ca="1">IFERROR(__xludf.DUMMYFUNCTION("""COMPUTED_VALUE"""),"R")</f>
        <v>R</v>
      </c>
      <c r="D100" s="103">
        <f ca="1">IFERROR(__xludf.DUMMYFUNCTION("""COMPUTED_VALUE"""),262127373)</f>
        <v>262127373</v>
      </c>
      <c r="E100" s="103" t="str">
        <f ca="1">IFERROR(__xludf.DUMMYFUNCTION("""COMPUTED_VALUE"""),"Purple Finch")</f>
        <v>Purple Finch</v>
      </c>
      <c r="F100" s="103" t="str">
        <f ca="1">IFERROR(__xludf.DUMMYFUNCTION("""COMPUTED_VALUE"""),"PUFI")</f>
        <v>PUFI</v>
      </c>
      <c r="G100" s="103">
        <f ca="1">IFERROR(__xludf.DUMMYFUNCTION("""COMPUTED_VALUE"""),6)</f>
        <v>6</v>
      </c>
      <c r="H100" s="103"/>
      <c r="I100" s="103"/>
      <c r="J100" s="103" t="str">
        <f ca="1">IFERROR(__xludf.DUMMYFUNCTION("""COMPUTED_VALUE"""),"DCB")</f>
        <v>DCB</v>
      </c>
      <c r="K100" s="103" t="str">
        <f ca="1">IFERROR(__xludf.DUMMYFUNCTION("""COMPUTED_VALUE"""),"M")</f>
        <v>M</v>
      </c>
      <c r="L100" s="103" t="str">
        <f ca="1">IFERROR(__xludf.DUMMYFUNCTION("""COMPUTED_VALUE"""),"C")</f>
        <v>C</v>
      </c>
      <c r="M100" s="103"/>
      <c r="N100" s="103"/>
      <c r="O100" s="103">
        <f ca="1">IFERROR(__xludf.DUMMYFUNCTION("""COMPUTED_VALUE"""),3)</f>
        <v>3</v>
      </c>
      <c r="P100" s="103">
        <f ca="1">IFERROR(__xludf.DUMMYFUNCTION("""COMPUTED_VALUE"""),0)</f>
        <v>0</v>
      </c>
      <c r="Q100" s="103">
        <f ca="1">IFERROR(__xludf.DUMMYFUNCTION("""COMPUTED_VALUE"""),1)</f>
        <v>1</v>
      </c>
      <c r="R100" s="103">
        <f ca="1">IFERROR(__xludf.DUMMYFUNCTION("""COMPUTED_VALUE"""),0)</f>
        <v>0</v>
      </c>
      <c r="S100" s="103" t="str">
        <f ca="1">IFERROR(__xludf.DUMMYFUNCTION("""COMPUTED_VALUE"""),"N")</f>
        <v>N</v>
      </c>
      <c r="T100" s="103">
        <f ca="1">IFERROR(__xludf.DUMMYFUNCTION("""COMPUTED_VALUE"""),1)</f>
        <v>1</v>
      </c>
      <c r="U100" s="103"/>
      <c r="V100" s="103"/>
      <c r="W100" s="103" t="str">
        <f ca="1">IFERROR(__xludf.DUMMYFUNCTION("""COMPUTED_VALUE"""),"B")</f>
        <v>B</v>
      </c>
      <c r="X100" s="103" t="str">
        <f ca="1">IFERROR(__xludf.DUMMYFUNCTION("""COMPUTED_VALUE"""),"M")</f>
        <v>M</v>
      </c>
      <c r="Y100" s="103"/>
      <c r="Z100" s="103"/>
      <c r="AA100" s="103" t="str">
        <f ca="1">IFERROR(__xludf.DUMMYFUNCTION("""COMPUTED_VALUE"""),"B")</f>
        <v>B</v>
      </c>
      <c r="AB100" s="103" t="str">
        <f ca="1">IFERROR(__xludf.DUMMYFUNCTION("""COMPUTED_VALUE"""),"B")</f>
        <v>B</v>
      </c>
      <c r="AC100" s="103"/>
      <c r="AD100" s="103">
        <f ca="1">IFERROR(__xludf.DUMMYFUNCTION("""COMPUTED_VALUE"""),70)</f>
        <v>70</v>
      </c>
      <c r="AE100" s="103">
        <f ca="1">IFERROR(__xludf.DUMMYFUNCTION("""COMPUTED_VALUE"""),23.8)</f>
        <v>23.8</v>
      </c>
      <c r="AF100" s="103"/>
      <c r="AG100" s="103">
        <f ca="1">IFERROR(__xludf.DUMMYFUNCTION("""COMPUTED_VALUE"""),6)</f>
        <v>6</v>
      </c>
      <c r="AH100" s="103">
        <f ca="1">IFERROR(__xludf.DUMMYFUNCTION("""COMPUTED_VALUE"""),29)</f>
        <v>29</v>
      </c>
      <c r="AI100" s="103">
        <f ca="1">IFERROR(__xludf.DUMMYFUNCTION("""COMPUTED_VALUE"""),830)</f>
        <v>830</v>
      </c>
      <c r="AJ100" s="103" t="str">
        <f ca="1">IFERROR(__xludf.DUMMYFUNCTION("""COMPUTED_VALUE"""),"MORS")</f>
        <v>MORS</v>
      </c>
      <c r="AK100" s="103">
        <f ca="1">IFERROR(__xludf.DUMMYFUNCTION("""COMPUTED_VALUE"""),21)</f>
        <v>21</v>
      </c>
      <c r="AL100" s="103"/>
      <c r="AM100" s="103"/>
      <c r="AN100" s="103"/>
      <c r="AO100" s="57" t="str">
        <f ca="1">IFERROR(__xludf.DUMMYFUNCTION("""COMPUTED_VALUE"""),"R")</f>
        <v>R</v>
      </c>
      <c r="AP100" s="103">
        <f ca="1">IFERROR(__xludf.DUMMYFUNCTION("""COMPUTED_VALUE"""),2)</f>
        <v>2</v>
      </c>
    </row>
    <row r="101" spans="1:72">
      <c r="A101" s="103">
        <f ca="1">IFERROR(__xludf.DUMMYFUNCTION("""COMPUTED_VALUE"""),8)</f>
        <v>8</v>
      </c>
      <c r="B101" s="103" t="str">
        <f ca="1">IFERROR(__xludf.DUMMYFUNCTION("""COMPUTED_VALUE"""),"JSM")</f>
        <v>JSM</v>
      </c>
      <c r="C101" s="103" t="str">
        <f ca="1">IFERROR(__xludf.DUMMYFUNCTION("""COMPUTED_VALUE"""),"N")</f>
        <v>N</v>
      </c>
      <c r="D101" s="103">
        <f ca="1">IFERROR(__xludf.DUMMYFUNCTION("""COMPUTED_VALUE"""),288029949)</f>
        <v>288029949</v>
      </c>
      <c r="E101" s="103" t="str">
        <f ca="1">IFERROR(__xludf.DUMMYFUNCTION("""COMPUTED_VALUE"""),"Oregon Junco")</f>
        <v>Oregon Junco</v>
      </c>
      <c r="F101" s="103" t="str">
        <f ca="1">IFERROR(__xludf.DUMMYFUNCTION("""COMPUTED_VALUE"""),"ORJU")</f>
        <v>ORJU</v>
      </c>
      <c r="G101" s="103">
        <f ca="1">IFERROR(__xludf.DUMMYFUNCTION("""COMPUTED_VALUE"""),2)</f>
        <v>2</v>
      </c>
      <c r="H101" s="103"/>
      <c r="I101" s="103"/>
      <c r="J101" s="103" t="str">
        <f ca="1">IFERROR(__xludf.DUMMYFUNCTION("""COMPUTED_VALUE"""),"FCJ")</f>
        <v>FCJ</v>
      </c>
      <c r="K101" s="103" t="str">
        <f ca="1">IFERROR(__xludf.DUMMYFUNCTION("""COMPUTED_VALUE"""),"U")</f>
        <v>U</v>
      </c>
      <c r="L101" s="103"/>
      <c r="M101" s="103"/>
      <c r="N101" s="103">
        <f ca="1">IFERROR(__xludf.DUMMYFUNCTION("""COMPUTED_VALUE"""),4)</f>
        <v>4</v>
      </c>
      <c r="O101" s="103">
        <f ca="1">IFERROR(__xludf.DUMMYFUNCTION("""COMPUTED_VALUE"""),0)</f>
        <v>0</v>
      </c>
      <c r="P101" s="103">
        <f ca="1">IFERROR(__xludf.DUMMYFUNCTION("""COMPUTED_VALUE"""),0)</f>
        <v>0</v>
      </c>
      <c r="Q101" s="103">
        <f ca="1">IFERROR(__xludf.DUMMYFUNCTION("""COMPUTED_VALUE"""),0)</f>
        <v>0</v>
      </c>
      <c r="R101" s="103">
        <f ca="1">IFERROR(__xludf.DUMMYFUNCTION("""COMPUTED_VALUE"""),0)</f>
        <v>0</v>
      </c>
      <c r="S101" s="103" t="str">
        <f ca="1">IFERROR(__xludf.DUMMYFUNCTION("""COMPUTED_VALUE"""),"N")</f>
        <v>N</v>
      </c>
      <c r="T101" s="103">
        <f ca="1">IFERROR(__xludf.DUMMYFUNCTION("""COMPUTED_VALUE"""),1)</f>
        <v>1</v>
      </c>
      <c r="U101" s="103">
        <f ca="1">IFERROR(__xludf.DUMMYFUNCTION("""COMPUTED_VALUE"""),3)</f>
        <v>3</v>
      </c>
      <c r="V101" s="103"/>
      <c r="W101" s="103"/>
      <c r="X101" s="103"/>
      <c r="Y101" s="103"/>
      <c r="Z101" s="103"/>
      <c r="AA101" s="103"/>
      <c r="AB101" s="103"/>
      <c r="AC101" s="103"/>
      <c r="AD101" s="103">
        <f ca="1">IFERROR(__xludf.DUMMYFUNCTION("""COMPUTED_VALUE"""),73)</f>
        <v>73</v>
      </c>
      <c r="AE101" s="103">
        <f ca="1">IFERROR(__xludf.DUMMYFUNCTION("""COMPUTED_VALUE"""),17.8)</f>
        <v>17.8</v>
      </c>
      <c r="AF101" s="103"/>
      <c r="AG101" s="103">
        <f ca="1">IFERROR(__xludf.DUMMYFUNCTION("""COMPUTED_VALUE"""),6)</f>
        <v>6</v>
      </c>
      <c r="AH101" s="103">
        <f ca="1">IFERROR(__xludf.DUMMYFUNCTION("""COMPUTED_VALUE"""),29)</f>
        <v>29</v>
      </c>
      <c r="AI101" s="103">
        <f ca="1">IFERROR(__xludf.DUMMYFUNCTION("""COMPUTED_VALUE"""),1030)</f>
        <v>1030</v>
      </c>
      <c r="AJ101" s="103" t="str">
        <f ca="1">IFERROR(__xludf.DUMMYFUNCTION("""COMPUTED_VALUE"""),"MORS")</f>
        <v>MORS</v>
      </c>
      <c r="AK101" s="103">
        <f ca="1">IFERROR(__xludf.DUMMYFUNCTION("""COMPUTED_VALUE"""),5)</f>
        <v>5</v>
      </c>
      <c r="AL101" s="103"/>
      <c r="AM101" s="103"/>
      <c r="AN101" s="103"/>
      <c r="AO101" s="57">
        <f ca="1">IFERROR(__xludf.DUMMYFUNCTION("""COMPUTED_VALUE"""),0)</f>
        <v>0</v>
      </c>
      <c r="AP101" s="103">
        <f ca="1">IFERROR(__xludf.DUMMYFUNCTION("""COMPUTED_VALUE"""),2)</f>
        <v>2</v>
      </c>
    </row>
    <row r="102" spans="1:72">
      <c r="A102" s="103">
        <f ca="1">IFERROR(__xludf.DUMMYFUNCTION("""COMPUTED_VALUE"""),9)</f>
        <v>9</v>
      </c>
      <c r="B102" s="103" t="str">
        <f ca="1">IFERROR(__xludf.DUMMYFUNCTION("""COMPUTED_VALUE"""),"JSM")</f>
        <v>JSM</v>
      </c>
      <c r="C102" s="103" t="str">
        <f ca="1">IFERROR(__xludf.DUMMYFUNCTION("""COMPUTED_VALUE"""),"N")</f>
        <v>N</v>
      </c>
      <c r="D102" s="103">
        <f ca="1">IFERROR(__xludf.DUMMYFUNCTION("""COMPUTED_VALUE"""),288029951)</f>
        <v>288029951</v>
      </c>
      <c r="E102" s="103" t="str">
        <f ca="1">IFERROR(__xludf.DUMMYFUNCTION("""COMPUTED_VALUE"""),"Black-capped Chickadee")</f>
        <v>Black-capped Chickadee</v>
      </c>
      <c r="F102" s="103" t="str">
        <f ca="1">IFERROR(__xludf.DUMMYFUNCTION("""COMPUTED_VALUE"""),"BCCH")</f>
        <v>BCCH</v>
      </c>
      <c r="G102" s="103">
        <f ca="1">IFERROR(__xludf.DUMMYFUNCTION("""COMPUTED_VALUE"""),2)</f>
        <v>2</v>
      </c>
      <c r="H102" s="103"/>
      <c r="I102" s="103"/>
      <c r="J102" s="103" t="str">
        <f ca="1">IFERROR(__xludf.DUMMYFUNCTION("""COMPUTED_VALUE"""),"FCJ")</f>
        <v>FCJ</v>
      </c>
      <c r="K102" s="103" t="str">
        <f ca="1">IFERROR(__xludf.DUMMYFUNCTION("""COMPUTED_VALUE"""),"U")</f>
        <v>U</v>
      </c>
      <c r="L102" s="103"/>
      <c r="M102" s="103"/>
      <c r="N102" s="103"/>
      <c r="O102" s="103">
        <f ca="1">IFERROR(__xludf.DUMMYFUNCTION("""COMPUTED_VALUE"""),0)</f>
        <v>0</v>
      </c>
      <c r="P102" s="103">
        <f ca="1">IFERROR(__xludf.DUMMYFUNCTION("""COMPUTED_VALUE"""),0)</f>
        <v>0</v>
      </c>
      <c r="Q102" s="103">
        <f ca="1">IFERROR(__xludf.DUMMYFUNCTION("""COMPUTED_VALUE"""),1)</f>
        <v>1</v>
      </c>
      <c r="R102" s="103">
        <f ca="1">IFERROR(__xludf.DUMMYFUNCTION("""COMPUTED_VALUE"""),0)</f>
        <v>0</v>
      </c>
      <c r="S102" s="103" t="str">
        <f ca="1">IFERROR(__xludf.DUMMYFUNCTION("""COMPUTED_VALUE"""),"N")</f>
        <v>N</v>
      </c>
      <c r="T102" s="103">
        <f ca="1">IFERROR(__xludf.DUMMYFUNCTION("""COMPUTED_VALUE"""),0)</f>
        <v>0</v>
      </c>
      <c r="U102" s="103">
        <f ca="1">IFERROR(__xludf.DUMMYFUNCTION("""COMPUTED_VALUE"""),3)</f>
        <v>3</v>
      </c>
      <c r="V102" s="103"/>
      <c r="W102" s="103"/>
      <c r="X102" s="103"/>
      <c r="Y102" s="103"/>
      <c r="Z102" s="103"/>
      <c r="AA102" s="103" t="str">
        <f ca="1">IFERROR(__xludf.DUMMYFUNCTION("""COMPUTED_VALUE"""),"J")</f>
        <v>J</v>
      </c>
      <c r="AB102" s="103"/>
      <c r="AC102" s="103"/>
      <c r="AD102" s="103">
        <f ca="1">IFERROR(__xludf.DUMMYFUNCTION("""COMPUTED_VALUE"""),58)</f>
        <v>58</v>
      </c>
      <c r="AE102" s="103">
        <f ca="1">IFERROR(__xludf.DUMMYFUNCTION("""COMPUTED_VALUE"""),8.5)</f>
        <v>8.5</v>
      </c>
      <c r="AF102" s="103"/>
      <c r="AG102" s="103">
        <f ca="1">IFERROR(__xludf.DUMMYFUNCTION("""COMPUTED_VALUE"""),6)</f>
        <v>6</v>
      </c>
      <c r="AH102" s="103">
        <f ca="1">IFERROR(__xludf.DUMMYFUNCTION("""COMPUTED_VALUE"""),29)</f>
        <v>29</v>
      </c>
      <c r="AI102" s="103">
        <f ca="1">IFERROR(__xludf.DUMMYFUNCTION("""COMPUTED_VALUE"""),1030)</f>
        <v>1030</v>
      </c>
      <c r="AJ102" s="103" t="str">
        <f ca="1">IFERROR(__xludf.DUMMYFUNCTION("""COMPUTED_VALUE"""),"MORS")</f>
        <v>MORS</v>
      </c>
      <c r="AK102" s="103">
        <f ca="1">IFERROR(__xludf.DUMMYFUNCTION("""COMPUTED_VALUE"""),20)</f>
        <v>20</v>
      </c>
      <c r="AL102" s="103"/>
      <c r="AM102" s="103"/>
      <c r="AN102" s="103"/>
      <c r="AO102" s="57">
        <f ca="1">IFERROR(__xludf.DUMMYFUNCTION("""COMPUTED_VALUE"""),0)</f>
        <v>0</v>
      </c>
      <c r="AP102" s="103">
        <f ca="1">IFERROR(__xludf.DUMMYFUNCTION("""COMPUTED_VALUE"""),2)</f>
        <v>2</v>
      </c>
    </row>
    <row r="103" spans="1:72">
      <c r="A103" s="103">
        <f ca="1">IFERROR(__xludf.DUMMYFUNCTION("""COMPUTED_VALUE"""),10)</f>
        <v>10</v>
      </c>
      <c r="B103" s="103" t="str">
        <f ca="1">IFERROR(__xludf.DUMMYFUNCTION("""COMPUTED_VALUE"""),"JSM")</f>
        <v>JSM</v>
      </c>
      <c r="C103" s="103" t="str">
        <f ca="1">IFERROR(__xludf.DUMMYFUNCTION("""COMPUTED_VALUE"""),"N")</f>
        <v>N</v>
      </c>
      <c r="D103" s="103">
        <f ca="1">IFERROR(__xludf.DUMMYFUNCTION("""COMPUTED_VALUE"""),288029953)</f>
        <v>288029953</v>
      </c>
      <c r="E103" s="103" t="str">
        <f ca="1">IFERROR(__xludf.DUMMYFUNCTION("""COMPUTED_VALUE"""),"Chestnut-backed Chickadee")</f>
        <v>Chestnut-backed Chickadee</v>
      </c>
      <c r="F103" s="103" t="str">
        <f ca="1">IFERROR(__xludf.DUMMYFUNCTION("""COMPUTED_VALUE"""),"CBCH")</f>
        <v>CBCH</v>
      </c>
      <c r="G103" s="103">
        <f ca="1">IFERROR(__xludf.DUMMYFUNCTION("""COMPUTED_VALUE"""),1)</f>
        <v>1</v>
      </c>
      <c r="H103" s="103"/>
      <c r="I103" s="103"/>
      <c r="J103" s="103" t="str">
        <f ca="1">IFERROR(__xludf.DUMMYFUNCTION("""COMPUTED_VALUE"""),"UAJ")</f>
        <v>UAJ</v>
      </c>
      <c r="K103" s="103" t="str">
        <f ca="1">IFERROR(__xludf.DUMMYFUNCTION("""COMPUTED_VALUE"""),"F")</f>
        <v>F</v>
      </c>
      <c r="L103" s="103" t="str">
        <f ca="1">IFERROR(__xludf.DUMMYFUNCTION("""COMPUTED_VALUE"""),"C")</f>
        <v>C</v>
      </c>
      <c r="M103" s="103"/>
      <c r="N103" s="103">
        <f ca="1">IFERROR(__xludf.DUMMYFUNCTION("""COMPUTED_VALUE"""),6)</f>
        <v>6</v>
      </c>
      <c r="O103" s="103">
        <f ca="1">IFERROR(__xludf.DUMMYFUNCTION("""COMPUTED_VALUE"""),0)</f>
        <v>0</v>
      </c>
      <c r="P103" s="103">
        <f ca="1">IFERROR(__xludf.DUMMYFUNCTION("""COMPUTED_VALUE"""),2)</f>
        <v>2</v>
      </c>
      <c r="Q103" s="103">
        <f ca="1">IFERROR(__xludf.DUMMYFUNCTION("""COMPUTED_VALUE"""),1)</f>
        <v>1</v>
      </c>
      <c r="R103" s="103">
        <f ca="1">IFERROR(__xludf.DUMMYFUNCTION("""COMPUTED_VALUE"""),0)</f>
        <v>0</v>
      </c>
      <c r="S103" s="103" t="str">
        <f ca="1">IFERROR(__xludf.DUMMYFUNCTION("""COMPUTED_VALUE"""),"S")</f>
        <v>S</v>
      </c>
      <c r="T103" s="103">
        <f ca="1">IFERROR(__xludf.DUMMYFUNCTION("""COMPUTED_VALUE"""),2)</f>
        <v>2</v>
      </c>
      <c r="U103" s="103">
        <f ca="1">IFERROR(__xludf.DUMMYFUNCTION("""COMPUTED_VALUE"""),0)</f>
        <v>0</v>
      </c>
      <c r="V103" s="103"/>
      <c r="W103" s="103"/>
      <c r="X103" s="103"/>
      <c r="Y103" s="103" t="str">
        <f ca="1">IFERROR(__xludf.DUMMYFUNCTION("""COMPUTED_VALUE"""),"M")</f>
        <v>M</v>
      </c>
      <c r="Z103" s="103"/>
      <c r="AA103" s="103" t="str">
        <f ca="1">IFERROR(__xludf.DUMMYFUNCTION("""COMPUTED_VALUE"""),"M")</f>
        <v>M</v>
      </c>
      <c r="AB103" s="103"/>
      <c r="AC103" s="103"/>
      <c r="AD103" s="103">
        <f ca="1">IFERROR(__xludf.DUMMYFUNCTION("""COMPUTED_VALUE"""),57)</f>
        <v>57</v>
      </c>
      <c r="AE103" s="103">
        <f ca="1">IFERROR(__xludf.DUMMYFUNCTION("""COMPUTED_VALUE"""),8.4)</f>
        <v>8.4</v>
      </c>
      <c r="AF103" s="103"/>
      <c r="AG103" s="103">
        <f ca="1">IFERROR(__xludf.DUMMYFUNCTION("""COMPUTED_VALUE"""),6)</f>
        <v>6</v>
      </c>
      <c r="AH103" s="103">
        <f ca="1">IFERROR(__xludf.DUMMYFUNCTION("""COMPUTED_VALUE"""),29)</f>
        <v>29</v>
      </c>
      <c r="AI103" s="103">
        <f ca="1">IFERROR(__xludf.DUMMYFUNCTION("""COMPUTED_VALUE"""),1030)</f>
        <v>1030</v>
      </c>
      <c r="AJ103" s="103" t="str">
        <f ca="1">IFERROR(__xludf.DUMMYFUNCTION("""COMPUTED_VALUE"""),"MORS")</f>
        <v>MORS</v>
      </c>
      <c r="AK103" s="103">
        <f ca="1">IFERROR(__xludf.DUMMYFUNCTION("""COMPUTED_VALUE"""),15)</f>
        <v>15</v>
      </c>
      <c r="AL103" s="103"/>
      <c r="AM103" s="103"/>
      <c r="AN103" s="103"/>
      <c r="AO103" s="57">
        <f ca="1">IFERROR(__xludf.DUMMYFUNCTION("""COMPUTED_VALUE"""),0)</f>
        <v>0</v>
      </c>
      <c r="AP103" s="103">
        <f ca="1">IFERROR(__xludf.DUMMYFUNCTION("""COMPUTED_VALUE"""),2)</f>
        <v>2</v>
      </c>
    </row>
    <row r="104" spans="1:72">
      <c r="A104" s="103">
        <f ca="1">IFERROR(__xludf.DUMMYFUNCTION("""COMPUTED_VALUE"""),1)</f>
        <v>1</v>
      </c>
      <c r="B104" s="103" t="str">
        <f ca="1">IFERROR(__xludf.DUMMYFUNCTION("""COMPUTED_VALUE"""),"JHT")</f>
        <v>JHT</v>
      </c>
      <c r="C104" s="103" t="str">
        <f ca="1">IFERROR(__xludf.DUMMYFUNCTION("""COMPUTED_VALUE"""),"N")</f>
        <v>N</v>
      </c>
      <c r="D104" s="103">
        <f ca="1">IFERROR(__xludf.DUMMYFUNCTION("""COMPUTED_VALUE"""),290077838)</f>
        <v>290077838</v>
      </c>
      <c r="E104" s="103" t="str">
        <f ca="1">IFERROR(__xludf.DUMMYFUNCTION("""COMPUTED_VALUE"""),"Common Yellowthroat")</f>
        <v>Common Yellowthroat</v>
      </c>
      <c r="F104" s="103" t="str">
        <f ca="1">IFERROR(__xludf.DUMMYFUNCTION("""COMPUTED_VALUE"""),"COYE")</f>
        <v>COYE</v>
      </c>
      <c r="G104" s="103">
        <f ca="1">IFERROR(__xludf.DUMMYFUNCTION("""COMPUTED_VALUE"""),2)</f>
        <v>2</v>
      </c>
      <c r="H104" s="103" t="str">
        <f ca="1">IFERROR(__xludf.DUMMYFUNCTION("""COMPUTED_VALUE"""),"I")</f>
        <v>I</v>
      </c>
      <c r="I104" s="103" t="str">
        <f ca="1">IFERROR(__xludf.DUMMYFUNCTION("""COMPUTED_VALUE"""),"P")</f>
        <v>P</v>
      </c>
      <c r="J104" s="103" t="str">
        <f ca="1">IFERROR(__xludf.DUMMYFUNCTION("""COMPUTED_VALUE"""),"FCF")</f>
        <v>FCF</v>
      </c>
      <c r="K104" s="103" t="str">
        <f ca="1">IFERROR(__xludf.DUMMYFUNCTION("""COMPUTED_VALUE"""),"U")</f>
        <v>U</v>
      </c>
      <c r="L104" s="103"/>
      <c r="M104" s="103"/>
      <c r="N104" s="103">
        <f ca="1">IFERROR(__xludf.DUMMYFUNCTION("""COMPUTED_VALUE"""),3)</f>
        <v>3</v>
      </c>
      <c r="O104" s="103">
        <f ca="1">IFERROR(__xludf.DUMMYFUNCTION("""COMPUTED_VALUE"""),0)</f>
        <v>0</v>
      </c>
      <c r="P104" s="103">
        <f ca="1">IFERROR(__xludf.DUMMYFUNCTION("""COMPUTED_VALUE"""),0)</f>
        <v>0</v>
      </c>
      <c r="Q104" s="103">
        <f ca="1">IFERROR(__xludf.DUMMYFUNCTION("""COMPUTED_VALUE"""),3)</f>
        <v>3</v>
      </c>
      <c r="R104" s="103">
        <f ca="1">IFERROR(__xludf.DUMMYFUNCTION("""COMPUTED_VALUE"""),0)</f>
        <v>0</v>
      </c>
      <c r="S104" s="103" t="str">
        <f ca="1">IFERROR(__xludf.DUMMYFUNCTION("""COMPUTED_VALUE"""),"N")</f>
        <v>N</v>
      </c>
      <c r="T104" s="103">
        <f ca="1">IFERROR(__xludf.DUMMYFUNCTION("""COMPUTED_VALUE"""),2)</f>
        <v>2</v>
      </c>
      <c r="U104" s="103">
        <f ca="1">IFERROR(__xludf.DUMMYFUNCTION("""COMPUTED_VALUE"""),3)</f>
        <v>3</v>
      </c>
      <c r="V104" s="103"/>
      <c r="W104" s="103"/>
      <c r="X104" s="103"/>
      <c r="Y104" s="103"/>
      <c r="Z104" s="103"/>
      <c r="AA104" s="103"/>
      <c r="AB104" s="103"/>
      <c r="AC104" s="103"/>
      <c r="AD104" s="103">
        <f ca="1">IFERROR(__xludf.DUMMYFUNCTION("""COMPUTED_VALUE"""),52)</f>
        <v>52</v>
      </c>
      <c r="AE104" s="103">
        <f ca="1">IFERROR(__xludf.DUMMYFUNCTION("""COMPUTED_VALUE"""),8.9)</f>
        <v>8.9</v>
      </c>
      <c r="AF104" s="103">
        <f ca="1">IFERROR(__xludf.DUMMYFUNCTION("""COMPUTED_VALUE"""),300)</f>
        <v>300</v>
      </c>
      <c r="AG104" s="103">
        <f ca="1">IFERROR(__xludf.DUMMYFUNCTION("""COMPUTED_VALUE"""),6)</f>
        <v>6</v>
      </c>
      <c r="AH104" s="103">
        <f ca="1">IFERROR(__xludf.DUMMYFUNCTION("""COMPUTED_VALUE"""),29)</f>
        <v>29</v>
      </c>
      <c r="AI104" s="103">
        <f ca="1">IFERROR(__xludf.DUMMYFUNCTION("""COMPUTED_VALUE"""),630)</f>
        <v>630</v>
      </c>
      <c r="AJ104" s="103" t="str">
        <f ca="1">IFERROR(__xludf.DUMMYFUNCTION("""COMPUTED_VALUE"""),"MORS")</f>
        <v>MORS</v>
      </c>
      <c r="AK104" s="103">
        <f ca="1">IFERROR(__xludf.DUMMYFUNCTION("""COMPUTED_VALUE"""),21)</f>
        <v>21</v>
      </c>
      <c r="AL104" s="103"/>
      <c r="AM104" s="103"/>
      <c r="AN104" s="103"/>
      <c r="AO104" s="57" t="str">
        <f ca="1">IFERROR(__xludf.DUMMYFUNCTION("""COMPUTED_VALUE"""),"0A")</f>
        <v>0A</v>
      </c>
      <c r="AP104" s="103">
        <f ca="1">IFERROR(__xludf.DUMMYFUNCTION("""COMPUTED_VALUE"""),3)</f>
        <v>3</v>
      </c>
    </row>
    <row r="105" spans="1:72">
      <c r="A105" s="103">
        <f ca="1">IFERROR(__xludf.DUMMYFUNCTION("""COMPUTED_VALUE"""),2)</f>
        <v>2</v>
      </c>
      <c r="B105" s="103" t="str">
        <f ca="1">IFERROR(__xludf.DUMMYFUNCTION("""COMPUTED_VALUE"""),"JHT")</f>
        <v>JHT</v>
      </c>
      <c r="C105" s="103" t="str">
        <f ca="1">IFERROR(__xludf.DUMMYFUNCTION("""COMPUTED_VALUE"""),"R")</f>
        <v>R</v>
      </c>
      <c r="D105" s="103">
        <f ca="1">IFERROR(__xludf.DUMMYFUNCTION("""COMPUTED_VALUE"""),178168889)</f>
        <v>178168889</v>
      </c>
      <c r="E105" s="103" t="str">
        <f ca="1">IFERROR(__xludf.DUMMYFUNCTION("""COMPUTED_VALUE"""),"Spotted Towhee")</f>
        <v>Spotted Towhee</v>
      </c>
      <c r="F105" s="103" t="str">
        <f ca="1">IFERROR(__xludf.DUMMYFUNCTION("""COMPUTED_VALUE"""),"SPTO")</f>
        <v>SPTO</v>
      </c>
      <c r="G105" s="103">
        <f ca="1">IFERROR(__xludf.DUMMYFUNCTION("""COMPUTED_VALUE"""),1)</f>
        <v>1</v>
      </c>
      <c r="H105" s="103" t="str">
        <f ca="1">IFERROR(__xludf.DUMMYFUNCTION("""COMPUTED_VALUE"""),"P")</f>
        <v>P</v>
      </c>
      <c r="I105" s="103" t="str">
        <f ca="1">IFERROR(__xludf.DUMMYFUNCTION("""COMPUTED_VALUE"""),"C")</f>
        <v>C</v>
      </c>
      <c r="J105" s="103" t="str">
        <f ca="1">IFERROR(__xludf.DUMMYFUNCTION("""COMPUTED_VALUE"""),"UAJ")</f>
        <v>UAJ</v>
      </c>
      <c r="K105" s="103" t="str">
        <f ca="1">IFERROR(__xludf.DUMMYFUNCTION("""COMPUTED_VALUE"""),"M")</f>
        <v>M</v>
      </c>
      <c r="L105" s="103" t="str">
        <f ca="1">IFERROR(__xludf.DUMMYFUNCTION("""COMPUTED_VALUE"""),"C")</f>
        <v>C</v>
      </c>
      <c r="M105" s="103" t="str">
        <f ca="1">IFERROR(__xludf.DUMMYFUNCTION("""COMPUTED_VALUE"""),"P")</f>
        <v>P</v>
      </c>
      <c r="N105" s="103">
        <f ca="1">IFERROR(__xludf.DUMMYFUNCTION("""COMPUTED_VALUE"""),6)</f>
        <v>6</v>
      </c>
      <c r="O105" s="103">
        <f ca="1">IFERROR(__xludf.DUMMYFUNCTION("""COMPUTED_VALUE"""),3)</f>
        <v>3</v>
      </c>
      <c r="P105" s="103">
        <f ca="1">IFERROR(__xludf.DUMMYFUNCTION("""COMPUTED_VALUE"""),0)</f>
        <v>0</v>
      </c>
      <c r="Q105" s="103">
        <f ca="1">IFERROR(__xludf.DUMMYFUNCTION("""COMPUTED_VALUE"""),1)</f>
        <v>1</v>
      </c>
      <c r="R105" s="103">
        <f ca="1">IFERROR(__xludf.DUMMYFUNCTION("""COMPUTED_VALUE"""),0)</f>
        <v>0</v>
      </c>
      <c r="S105" s="103" t="str">
        <f ca="1">IFERROR(__xludf.DUMMYFUNCTION("""COMPUTED_VALUE"""),"A")</f>
        <v>A</v>
      </c>
      <c r="T105" s="103">
        <f ca="1">IFERROR(__xludf.DUMMYFUNCTION("""COMPUTED_VALUE"""),3)</f>
        <v>3</v>
      </c>
      <c r="U105" s="103"/>
      <c r="V105" s="103"/>
      <c r="W105" s="103"/>
      <c r="X105" s="103"/>
      <c r="Y105" s="103"/>
      <c r="Z105" s="103"/>
      <c r="AA105" s="103"/>
      <c r="AB105" s="103"/>
      <c r="AC105" s="103"/>
      <c r="AD105" s="103">
        <f ca="1">IFERROR(__xludf.DUMMYFUNCTION("""COMPUTED_VALUE"""),85)</f>
        <v>85</v>
      </c>
      <c r="AE105" s="103">
        <f ca="1">IFERROR(__xludf.DUMMYFUNCTION("""COMPUTED_VALUE"""),37.9)</f>
        <v>37.9</v>
      </c>
      <c r="AF105" s="103">
        <f ca="1">IFERROR(__xludf.DUMMYFUNCTION("""COMPUTED_VALUE"""),300)</f>
        <v>300</v>
      </c>
      <c r="AG105" s="103">
        <f ca="1">IFERROR(__xludf.DUMMYFUNCTION("""COMPUTED_VALUE"""),6)</f>
        <v>6</v>
      </c>
      <c r="AH105" s="103">
        <f ca="1">IFERROR(__xludf.DUMMYFUNCTION("""COMPUTED_VALUE"""),29)</f>
        <v>29</v>
      </c>
      <c r="AI105" s="103">
        <f ca="1">IFERROR(__xludf.DUMMYFUNCTION("""COMPUTED_VALUE"""),630)</f>
        <v>630</v>
      </c>
      <c r="AJ105" s="103" t="str">
        <f ca="1">IFERROR(__xludf.DUMMYFUNCTION("""COMPUTED_VALUE"""),"MORS")</f>
        <v>MORS</v>
      </c>
      <c r="AK105" s="103">
        <f ca="1">IFERROR(__xludf.DUMMYFUNCTION("""COMPUTED_VALUE"""),7)</f>
        <v>7</v>
      </c>
      <c r="AL105" s="103"/>
      <c r="AM105" s="103">
        <f ca="1">IFERROR(__xludf.DUMMYFUNCTION("""COMPUTED_VALUE"""),1)</f>
        <v>1</v>
      </c>
      <c r="AN105" s="103" t="str">
        <f ca="1">IFERROR(__xludf.DUMMYFUNCTION("""COMPUTED_VALUE"""),"RP2 in pin 60% grown (only FF in molt)")</f>
        <v>RP2 in pin 60% grown (only FF in molt)</v>
      </c>
      <c r="AO105" s="57" t="str">
        <f ca="1">IFERROR(__xludf.DUMMYFUNCTION("""COMPUTED_VALUE"""),"R")</f>
        <v>R</v>
      </c>
      <c r="AP105" s="103">
        <f ca="1">IFERROR(__xludf.DUMMYFUNCTION("""COMPUTED_VALUE"""),3)</f>
        <v>3</v>
      </c>
    </row>
    <row r="106" spans="1:72">
      <c r="A106" s="103">
        <f ca="1">IFERROR(__xludf.DUMMYFUNCTION("""COMPUTED_VALUE"""),3)</f>
        <v>3</v>
      </c>
      <c r="B106" s="103" t="str">
        <f ca="1">IFERROR(__xludf.DUMMYFUNCTION("""COMPUTED_VALUE"""),"JHT")</f>
        <v>JHT</v>
      </c>
      <c r="C106" s="103" t="str">
        <f ca="1">IFERROR(__xludf.DUMMYFUNCTION("""COMPUTED_VALUE"""),"N")</f>
        <v>N</v>
      </c>
      <c r="D106" s="103">
        <f ca="1">IFERROR(__xludf.DUMMYFUNCTION("""COMPUTED_VALUE"""),288029945)</f>
        <v>288029945</v>
      </c>
      <c r="E106" s="103" t="str">
        <f ca="1">IFERROR(__xludf.DUMMYFUNCTION("""COMPUTED_VALUE"""),"Oregon Junco")</f>
        <v>Oregon Junco</v>
      </c>
      <c r="F106" s="103" t="str">
        <f ca="1">IFERROR(__xludf.DUMMYFUNCTION("""COMPUTED_VALUE"""),"ORJU")</f>
        <v>ORJU</v>
      </c>
      <c r="G106" s="103">
        <f ca="1">IFERROR(__xludf.DUMMYFUNCTION("""COMPUTED_VALUE"""),2)</f>
        <v>2</v>
      </c>
      <c r="H106" s="103" t="str">
        <f ca="1">IFERROR(__xludf.DUMMYFUNCTION("""COMPUTED_VALUE"""),"P")</f>
        <v>P</v>
      </c>
      <c r="I106" s="103" t="str">
        <f ca="1">IFERROR(__xludf.DUMMYFUNCTION("""COMPUTED_VALUE"""),"S")</f>
        <v>S</v>
      </c>
      <c r="J106" s="103" t="str">
        <f ca="1">IFERROR(__xludf.DUMMYFUNCTION("""COMPUTED_VALUE"""),"FPF")</f>
        <v>FPF</v>
      </c>
      <c r="K106" s="103" t="str">
        <f ca="1">IFERROR(__xludf.DUMMYFUNCTION("""COMPUTED_VALUE"""),"U")</f>
        <v>U</v>
      </c>
      <c r="L106" s="103"/>
      <c r="M106" s="103"/>
      <c r="N106" s="103">
        <f ca="1">IFERROR(__xludf.DUMMYFUNCTION("""COMPUTED_VALUE"""),3)</f>
        <v>3</v>
      </c>
      <c r="O106" s="103">
        <f ca="1">IFERROR(__xludf.DUMMYFUNCTION("""COMPUTED_VALUE"""),0)</f>
        <v>0</v>
      </c>
      <c r="P106" s="103">
        <f ca="1">IFERROR(__xludf.DUMMYFUNCTION("""COMPUTED_VALUE"""),0)</f>
        <v>0</v>
      </c>
      <c r="Q106" s="103">
        <f ca="1">IFERROR(__xludf.DUMMYFUNCTION("""COMPUTED_VALUE"""),1)</f>
        <v>1</v>
      </c>
      <c r="R106" s="103">
        <f ca="1">IFERROR(__xludf.DUMMYFUNCTION("""COMPUTED_VALUE"""),1)</f>
        <v>1</v>
      </c>
      <c r="S106" s="103" t="str">
        <f ca="1">IFERROR(__xludf.DUMMYFUNCTION("""COMPUTED_VALUE"""),"N")</f>
        <v>N</v>
      </c>
      <c r="T106" s="103">
        <f ca="1">IFERROR(__xludf.DUMMYFUNCTION("""COMPUTED_VALUE"""),1)</f>
        <v>1</v>
      </c>
      <c r="U106" s="103">
        <f ca="1">IFERROR(__xludf.DUMMYFUNCTION("""COMPUTED_VALUE"""),3)</f>
        <v>3</v>
      </c>
      <c r="V106" s="103"/>
      <c r="W106" s="103"/>
      <c r="X106" s="103"/>
      <c r="Y106" s="103"/>
      <c r="Z106" s="103"/>
      <c r="AA106" s="103"/>
      <c r="AB106" s="103"/>
      <c r="AC106" s="103"/>
      <c r="AD106" s="103">
        <f ca="1">IFERROR(__xludf.DUMMYFUNCTION("""COMPUTED_VALUE"""),76)</f>
        <v>76</v>
      </c>
      <c r="AE106" s="103">
        <f ca="1">IFERROR(__xludf.DUMMYFUNCTION("""COMPUTED_VALUE"""),17.7)</f>
        <v>17.7</v>
      </c>
      <c r="AF106" s="103">
        <f ca="1">IFERROR(__xludf.DUMMYFUNCTION("""COMPUTED_VALUE"""),300)</f>
        <v>300</v>
      </c>
      <c r="AG106" s="103">
        <f ca="1">IFERROR(__xludf.DUMMYFUNCTION("""COMPUTED_VALUE"""),6)</f>
        <v>6</v>
      </c>
      <c r="AH106" s="103">
        <f ca="1">IFERROR(__xludf.DUMMYFUNCTION("""COMPUTED_VALUE"""),29)</f>
        <v>29</v>
      </c>
      <c r="AI106" s="103">
        <f ca="1">IFERROR(__xludf.DUMMYFUNCTION("""COMPUTED_VALUE"""),730)</f>
        <v>730</v>
      </c>
      <c r="AJ106" s="103" t="str">
        <f ca="1">IFERROR(__xludf.DUMMYFUNCTION("""COMPUTED_VALUE"""),"MORS")</f>
        <v>MORS</v>
      </c>
      <c r="AK106" s="103">
        <f ca="1">IFERROR(__xludf.DUMMYFUNCTION("""COMPUTED_VALUE"""),9)</f>
        <v>9</v>
      </c>
      <c r="AL106" s="103"/>
      <c r="AM106" s="103">
        <f ca="1">IFERROR(__xludf.DUMMYFUNCTION("""COMPUTED_VALUE"""),2)</f>
        <v>2</v>
      </c>
      <c r="AN106" s="103" t="str">
        <f ca="1">IFERROR(__xludf.DUMMYFUNCTION("""COMPUTED_VALUE"""),"R6 100% white. R5 90%, R4 10%")</f>
        <v>R6 100% white. R5 90%, R4 10%</v>
      </c>
      <c r="AO106" s="57">
        <f ca="1">IFERROR(__xludf.DUMMYFUNCTION("""COMPUTED_VALUE"""),0)</f>
        <v>0</v>
      </c>
      <c r="AP106" s="103">
        <f ca="1">IFERROR(__xludf.DUMMYFUNCTION("""COMPUTED_VALUE"""),3)</f>
        <v>3</v>
      </c>
    </row>
    <row r="107" spans="1:72">
      <c r="A107" s="103">
        <f ca="1">IFERROR(__xludf.DUMMYFUNCTION("""COMPUTED_VALUE"""),4)</f>
        <v>4</v>
      </c>
      <c r="B107" s="103" t="str">
        <f ca="1">IFERROR(__xludf.DUMMYFUNCTION("""COMPUTED_VALUE"""),"JHT")</f>
        <v>JHT</v>
      </c>
      <c r="C107" s="103" t="str">
        <f ca="1">IFERROR(__xludf.DUMMYFUNCTION("""COMPUTED_VALUE"""),"N")</f>
        <v>N</v>
      </c>
      <c r="D107" s="103">
        <f ca="1">IFERROR(__xludf.DUMMYFUNCTION("""COMPUTED_VALUE"""),281191231)</f>
        <v>281191231</v>
      </c>
      <c r="E107" s="103" t="str">
        <f ca="1">IFERROR(__xludf.DUMMYFUNCTION("""COMPUTED_VALUE"""),"Savannah Sparrow")</f>
        <v>Savannah Sparrow</v>
      </c>
      <c r="F107" s="103" t="str">
        <f ca="1">IFERROR(__xludf.DUMMYFUNCTION("""COMPUTED_VALUE"""),"SASP")</f>
        <v>SASP</v>
      </c>
      <c r="G107" s="103">
        <f ca="1">IFERROR(__xludf.DUMMYFUNCTION("""COMPUTED_VALUE"""),1)</f>
        <v>1</v>
      </c>
      <c r="H107" s="103" t="str">
        <f ca="1">IFERROR(__xludf.DUMMYFUNCTION("""COMPUTED_VALUE"""),"S")</f>
        <v>S</v>
      </c>
      <c r="I107" s="103" t="str">
        <f ca="1">IFERROR(__xludf.DUMMYFUNCTION("""COMPUTED_VALUE"""),"C")</f>
        <v>C</v>
      </c>
      <c r="J107" s="103" t="str">
        <f ca="1">IFERROR(__xludf.DUMMYFUNCTION("""COMPUTED_VALUE"""),"UAJ")</f>
        <v>UAJ</v>
      </c>
      <c r="K107" s="103" t="str">
        <f ca="1">IFERROR(__xludf.DUMMYFUNCTION("""COMPUTED_VALUE"""),"M")</f>
        <v>M</v>
      </c>
      <c r="L107" s="103" t="str">
        <f ca="1">IFERROR(__xludf.DUMMYFUNCTION("""COMPUTED_VALUE"""),"C")</f>
        <v>C</v>
      </c>
      <c r="M107" s="103" t="str">
        <f ca="1">IFERROR(__xludf.DUMMYFUNCTION("""COMPUTED_VALUE"""),"P")</f>
        <v>P</v>
      </c>
      <c r="N107" s="103">
        <f ca="1">IFERROR(__xludf.DUMMYFUNCTION("""COMPUTED_VALUE"""),6)</f>
        <v>6</v>
      </c>
      <c r="O107" s="103">
        <f ca="1">IFERROR(__xludf.DUMMYFUNCTION("""COMPUTED_VALUE"""),3)</f>
        <v>3</v>
      </c>
      <c r="P107" s="103">
        <f ca="1">IFERROR(__xludf.DUMMYFUNCTION("""COMPUTED_VALUE"""),0)</f>
        <v>0</v>
      </c>
      <c r="Q107" s="103">
        <f ca="1">IFERROR(__xludf.DUMMYFUNCTION("""COMPUTED_VALUE"""),0)</f>
        <v>0</v>
      </c>
      <c r="R107" s="103">
        <f ca="1">IFERROR(__xludf.DUMMYFUNCTION("""COMPUTED_VALUE"""),0)</f>
        <v>0</v>
      </c>
      <c r="S107" s="103" t="str">
        <f ca="1">IFERROR(__xludf.DUMMYFUNCTION("""COMPUTED_VALUE"""),"N")</f>
        <v>N</v>
      </c>
      <c r="T107" s="103">
        <f ca="1">IFERROR(__xludf.DUMMYFUNCTION("""COMPUTED_VALUE"""),3)</f>
        <v>3</v>
      </c>
      <c r="U107" s="103"/>
      <c r="V107" s="103"/>
      <c r="W107" s="103"/>
      <c r="X107" s="103"/>
      <c r="Y107" s="103"/>
      <c r="Z107" s="103"/>
      <c r="AA107" s="103"/>
      <c r="AB107" s="103"/>
      <c r="AC107" s="103"/>
      <c r="AD107" s="103">
        <f ca="1">IFERROR(__xludf.DUMMYFUNCTION("""COMPUTED_VALUE"""),65)</f>
        <v>65</v>
      </c>
      <c r="AE107" s="103">
        <f ca="1">IFERROR(__xludf.DUMMYFUNCTION("""COMPUTED_VALUE"""),16.8)</f>
        <v>16.8</v>
      </c>
      <c r="AF107" s="103">
        <f ca="1">IFERROR(__xludf.DUMMYFUNCTION("""COMPUTED_VALUE"""),300)</f>
        <v>300</v>
      </c>
      <c r="AG107" s="103">
        <f ca="1">IFERROR(__xludf.DUMMYFUNCTION("""COMPUTED_VALUE"""),6)</f>
        <v>6</v>
      </c>
      <c r="AH107" s="103">
        <f ca="1">IFERROR(__xludf.DUMMYFUNCTION("""COMPUTED_VALUE"""),29)</f>
        <v>29</v>
      </c>
      <c r="AI107" s="103">
        <f ca="1">IFERROR(__xludf.DUMMYFUNCTION("""COMPUTED_VALUE"""),730)</f>
        <v>730</v>
      </c>
      <c r="AJ107" s="103" t="str">
        <f ca="1">IFERROR(__xludf.DUMMYFUNCTION("""COMPUTED_VALUE"""),"MORS")</f>
        <v>MORS</v>
      </c>
      <c r="AK107" s="103">
        <f ca="1">IFERROR(__xludf.DUMMYFUNCTION("""COMPUTED_VALUE"""),21)</f>
        <v>21</v>
      </c>
      <c r="AL107" s="103"/>
      <c r="AM107" s="103"/>
      <c r="AN107" s="103"/>
      <c r="AO107" s="57">
        <f ca="1">IFERROR(__xludf.DUMMYFUNCTION("""COMPUTED_VALUE"""),1)</f>
        <v>1</v>
      </c>
      <c r="AP107" s="103">
        <f ca="1">IFERROR(__xludf.DUMMYFUNCTION("""COMPUTED_VALUE"""),3)</f>
        <v>3</v>
      </c>
    </row>
    <row r="108" spans="1:72">
      <c r="A108" s="103">
        <f ca="1">IFERROR(__xludf.DUMMYFUNCTION("""COMPUTED_VALUE"""),5)</f>
        <v>5</v>
      </c>
      <c r="B108" s="103" t="str">
        <f ca="1">IFERROR(__xludf.DUMMYFUNCTION("""COMPUTED_VALUE"""),"JHT")</f>
        <v>JHT</v>
      </c>
      <c r="C108" s="103" t="str">
        <f ca="1">IFERROR(__xludf.DUMMYFUNCTION("""COMPUTED_VALUE"""),"N")</f>
        <v>N</v>
      </c>
      <c r="D108" s="103">
        <f ca="1">IFERROR(__xludf.DUMMYFUNCTION("""COMPUTED_VALUE"""),172176242)</f>
        <v>172176242</v>
      </c>
      <c r="E108" s="103" t="str">
        <f ca="1">IFERROR(__xludf.DUMMYFUNCTION("""COMPUTED_VALUE"""),"Cedar Waxwing")</f>
        <v>Cedar Waxwing</v>
      </c>
      <c r="F108" s="103" t="str">
        <f ca="1">IFERROR(__xludf.DUMMYFUNCTION("""COMPUTED_VALUE"""),"CEDW")</f>
        <v>CEDW</v>
      </c>
      <c r="G108" s="103">
        <f ca="1">IFERROR(__xludf.DUMMYFUNCTION("""COMPUTED_VALUE"""),2)</f>
        <v>2</v>
      </c>
      <c r="H108" s="103" t="str">
        <f ca="1">IFERROR(__xludf.DUMMYFUNCTION("""COMPUTED_VALUE"""),"I")</f>
        <v>I</v>
      </c>
      <c r="I108" s="103" t="str">
        <f ca="1">IFERROR(__xludf.DUMMYFUNCTION("""COMPUTED_VALUE"""),"P")</f>
        <v>P</v>
      </c>
      <c r="J108" s="103" t="str">
        <f ca="1">IFERROR(__xludf.DUMMYFUNCTION("""COMPUTED_VALUE"""),"FCJ")</f>
        <v>FCJ</v>
      </c>
      <c r="K108" s="103" t="str">
        <f ca="1">IFERROR(__xludf.DUMMYFUNCTION("""COMPUTED_VALUE"""),"U")</f>
        <v>U</v>
      </c>
      <c r="L108" s="103"/>
      <c r="M108" s="103"/>
      <c r="N108" s="103">
        <f ca="1">IFERROR(__xludf.DUMMYFUNCTION("""COMPUTED_VALUE"""),3)</f>
        <v>3</v>
      </c>
      <c r="O108" s="103">
        <f ca="1">IFERROR(__xludf.DUMMYFUNCTION("""COMPUTED_VALUE"""),0)</f>
        <v>0</v>
      </c>
      <c r="P108" s="103">
        <f ca="1">IFERROR(__xludf.DUMMYFUNCTION("""COMPUTED_VALUE"""),0)</f>
        <v>0</v>
      </c>
      <c r="Q108" s="103">
        <f ca="1">IFERROR(__xludf.DUMMYFUNCTION("""COMPUTED_VALUE"""),0)</f>
        <v>0</v>
      </c>
      <c r="R108" s="103">
        <f ca="1">IFERROR(__xludf.DUMMYFUNCTION("""COMPUTED_VALUE"""),0)</f>
        <v>0</v>
      </c>
      <c r="S108" s="103" t="str">
        <f ca="1">IFERROR(__xludf.DUMMYFUNCTION("""COMPUTED_VALUE"""),"S")</f>
        <v>S</v>
      </c>
      <c r="T108" s="103">
        <f ca="1">IFERROR(__xludf.DUMMYFUNCTION("""COMPUTED_VALUE"""),0)</f>
        <v>0</v>
      </c>
      <c r="U108" s="103">
        <f ca="1">IFERROR(__xludf.DUMMYFUNCTION("""COMPUTED_VALUE"""),3)</f>
        <v>3</v>
      </c>
      <c r="V108" s="103"/>
      <c r="W108" s="103"/>
      <c r="X108" s="103"/>
      <c r="Y108" s="103"/>
      <c r="Z108" s="103"/>
      <c r="AA108" s="103"/>
      <c r="AB108" s="103"/>
      <c r="AC108" s="103"/>
      <c r="AD108" s="103">
        <f ca="1">IFERROR(__xludf.DUMMYFUNCTION("""COMPUTED_VALUE"""),80)</f>
        <v>80</v>
      </c>
      <c r="AE108" s="103">
        <f ca="1">IFERROR(__xludf.DUMMYFUNCTION("""COMPUTED_VALUE"""),29.9)</f>
        <v>29.9</v>
      </c>
      <c r="AF108" s="103">
        <f ca="1">IFERROR(__xludf.DUMMYFUNCTION("""COMPUTED_VALUE"""),300)</f>
        <v>300</v>
      </c>
      <c r="AG108" s="103">
        <f ca="1">IFERROR(__xludf.DUMMYFUNCTION("""COMPUTED_VALUE"""),6)</f>
        <v>6</v>
      </c>
      <c r="AH108" s="103">
        <f ca="1">IFERROR(__xludf.DUMMYFUNCTION("""COMPUTED_VALUE"""),29)</f>
        <v>29</v>
      </c>
      <c r="AI108" s="103">
        <f ca="1">IFERROR(__xludf.DUMMYFUNCTION("""COMPUTED_VALUE"""),830)</f>
        <v>830</v>
      </c>
      <c r="AJ108" s="103" t="str">
        <f ca="1">IFERROR(__xludf.DUMMYFUNCTION("""COMPUTED_VALUE"""),"MORS")</f>
        <v>MORS</v>
      </c>
      <c r="AK108" s="103">
        <f ca="1">IFERROR(__xludf.DUMMYFUNCTION("""COMPUTED_VALUE"""),15)</f>
        <v>15</v>
      </c>
      <c r="AL108" s="103"/>
      <c r="AM108" s="103">
        <f ca="1">IFERROR(__xludf.DUMMYFUNCTION("""COMPUTED_VALUE"""),3)</f>
        <v>3</v>
      </c>
      <c r="AN108" s="103" t="str">
        <f ca="1">IFERROR(__xludf.DUMMYFUNCTION("""COMPUTED_VALUE"""),"FF in sheath from P1-terts. Feathers at 90-95% completion. Rects in sheath")</f>
        <v>FF in sheath from P1-terts. Feathers at 90-95% completion. Rects in sheath</v>
      </c>
      <c r="AO108" s="57" t="str">
        <f ca="1">IFERROR(__xludf.DUMMYFUNCTION("""COMPUTED_VALUE"""),"1B")</f>
        <v>1B</v>
      </c>
      <c r="AP108" s="103">
        <f ca="1">IFERROR(__xludf.DUMMYFUNCTION("""COMPUTED_VALUE"""),3)</f>
        <v>3</v>
      </c>
    </row>
    <row r="109" spans="1:72">
      <c r="A109" s="103">
        <f ca="1">IFERROR(__xludf.DUMMYFUNCTION("""COMPUTED_VALUE"""),6)</f>
        <v>6</v>
      </c>
      <c r="B109" s="103" t="str">
        <f ca="1">IFERROR(__xludf.DUMMYFUNCTION("""COMPUTED_VALUE"""),"JHT")</f>
        <v>JHT</v>
      </c>
      <c r="C109" s="103" t="str">
        <f ca="1">IFERROR(__xludf.DUMMYFUNCTION("""COMPUTED_VALUE"""),"R")</f>
        <v>R</v>
      </c>
      <c r="D109" s="103">
        <f ca="1">IFERROR(__xludf.DUMMYFUNCTION("""COMPUTED_VALUE"""),172176232)</f>
        <v>172176232</v>
      </c>
      <c r="E109" s="103" t="str">
        <f ca="1">IFERROR(__xludf.DUMMYFUNCTION("""COMPUTED_VALUE"""),"Song Sparrow")</f>
        <v>Song Sparrow</v>
      </c>
      <c r="F109" s="103" t="str">
        <f ca="1">IFERROR(__xludf.DUMMYFUNCTION("""COMPUTED_VALUE"""),"SOSP")</f>
        <v>SOSP</v>
      </c>
      <c r="G109" s="103">
        <f ca="1">IFERROR(__xludf.DUMMYFUNCTION("""COMPUTED_VALUE"""),1)</f>
        <v>1</v>
      </c>
      <c r="H109" s="103" t="str">
        <f ca="1">IFERROR(__xludf.DUMMYFUNCTION("""COMPUTED_VALUE"""),"P")</f>
        <v>P</v>
      </c>
      <c r="I109" s="103" t="str">
        <f ca="1">IFERROR(__xludf.DUMMYFUNCTION("""COMPUTED_VALUE"""),"S")</f>
        <v>S</v>
      </c>
      <c r="J109" s="103" t="str">
        <f ca="1">IFERROR(__xludf.DUMMYFUNCTION("""COMPUTED_VALUE"""),"UAJ")</f>
        <v>UAJ</v>
      </c>
      <c r="K109" s="103" t="str">
        <f ca="1">IFERROR(__xludf.DUMMYFUNCTION("""COMPUTED_VALUE"""),"U")</f>
        <v>U</v>
      </c>
      <c r="L109" s="103"/>
      <c r="M109" s="103"/>
      <c r="N109" s="103">
        <f ca="1">IFERROR(__xludf.DUMMYFUNCTION("""COMPUTED_VALUE"""),5)</f>
        <v>5</v>
      </c>
      <c r="O109" s="103">
        <f ca="1">IFERROR(__xludf.DUMMYFUNCTION("""COMPUTED_VALUE"""),0)</f>
        <v>0</v>
      </c>
      <c r="P109" s="103">
        <f ca="1">IFERROR(__xludf.DUMMYFUNCTION("""COMPUTED_VALUE"""),0)</f>
        <v>0</v>
      </c>
      <c r="Q109" s="103">
        <f ca="1">IFERROR(__xludf.DUMMYFUNCTION("""COMPUTED_VALUE"""),0)</f>
        <v>0</v>
      </c>
      <c r="R109" s="103">
        <f ca="1">IFERROR(__xludf.DUMMYFUNCTION("""COMPUTED_VALUE"""),0)</f>
        <v>0</v>
      </c>
      <c r="S109" s="103" t="str">
        <f ca="1">IFERROR(__xludf.DUMMYFUNCTION("""COMPUTED_VALUE"""),"N")</f>
        <v>N</v>
      </c>
      <c r="T109" s="103">
        <f ca="1">IFERROR(__xludf.DUMMYFUNCTION("""COMPUTED_VALUE"""),3)</f>
        <v>3</v>
      </c>
      <c r="U109" s="103"/>
      <c r="V109" s="103"/>
      <c r="W109" s="103"/>
      <c r="X109" s="103"/>
      <c r="Y109" s="103"/>
      <c r="Z109" s="103"/>
      <c r="AA109" s="103"/>
      <c r="AB109" s="103"/>
      <c r="AC109" s="103"/>
      <c r="AD109" s="103">
        <f ca="1">IFERROR(__xludf.DUMMYFUNCTION("""COMPUTED_VALUE"""),67)</f>
        <v>67</v>
      </c>
      <c r="AE109" s="103">
        <f ca="1">IFERROR(__xludf.DUMMYFUNCTION("""COMPUTED_VALUE"""),24.8)</f>
        <v>24.8</v>
      </c>
      <c r="AF109" s="103">
        <f ca="1">IFERROR(__xludf.DUMMYFUNCTION("""COMPUTED_VALUE"""),300)</f>
        <v>300</v>
      </c>
      <c r="AG109" s="103">
        <f ca="1">IFERROR(__xludf.DUMMYFUNCTION("""COMPUTED_VALUE"""),6)</f>
        <v>6</v>
      </c>
      <c r="AH109" s="103">
        <f ca="1">IFERROR(__xludf.DUMMYFUNCTION("""COMPUTED_VALUE"""),29)</f>
        <v>29</v>
      </c>
      <c r="AI109" s="103">
        <f ca="1">IFERROR(__xludf.DUMMYFUNCTION("""COMPUTED_VALUE"""),9)</f>
        <v>9</v>
      </c>
      <c r="AJ109" s="103" t="str">
        <f ca="1">IFERROR(__xludf.DUMMYFUNCTION("""COMPUTED_VALUE"""),"MORS")</f>
        <v>MORS</v>
      </c>
      <c r="AK109" s="103">
        <f ca="1">IFERROR(__xludf.DUMMYFUNCTION("""COMPUTED_VALUE"""),8)</f>
        <v>8</v>
      </c>
      <c r="AL109" s="103"/>
      <c r="AM109" s="103">
        <f ca="1">IFERROR(__xludf.DUMMYFUNCTION("""COMPUTED_VALUE"""),4)</f>
        <v>4</v>
      </c>
      <c r="AN109" s="103" t="str">
        <f ca="1">IFERROR(__xludf.DUMMYFUNCTION("""COMPUTED_VALUE"""),"Possible CP of 1 (according to NDS)")</f>
        <v>Possible CP of 1 (according to NDS)</v>
      </c>
      <c r="AO109" s="57" t="str">
        <f ca="1">IFERROR(__xludf.DUMMYFUNCTION("""COMPUTED_VALUE"""),"R")</f>
        <v>R</v>
      </c>
      <c r="AP109" s="103">
        <f ca="1">IFERROR(__xludf.DUMMYFUNCTION("""COMPUTED_VALUE"""),3)</f>
        <v>3</v>
      </c>
    </row>
    <row r="110" spans="1:72">
      <c r="A110" s="103">
        <f ca="1">IFERROR(__xludf.DUMMYFUNCTION("""COMPUTED_VALUE"""),7)</f>
        <v>7</v>
      </c>
      <c r="B110" s="103" t="str">
        <f ca="1">IFERROR(__xludf.DUMMYFUNCTION("""COMPUTED_VALUE"""),"JHT")</f>
        <v>JHT</v>
      </c>
      <c r="C110" s="103" t="str">
        <f ca="1">IFERROR(__xludf.DUMMYFUNCTION("""COMPUTED_VALUE"""),"N")</f>
        <v>N</v>
      </c>
      <c r="D110" s="103">
        <f ca="1">IFERROR(__xludf.DUMMYFUNCTION("""COMPUTED_VALUE"""),288029952)</f>
        <v>288029952</v>
      </c>
      <c r="E110" s="103" t="str">
        <f ca="1">IFERROR(__xludf.DUMMYFUNCTION("""COMPUTED_VALUE"""),"Black-capped Chickadee")</f>
        <v>Black-capped Chickadee</v>
      </c>
      <c r="F110" s="103" t="str">
        <f ca="1">IFERROR(__xludf.DUMMYFUNCTION("""COMPUTED_VALUE"""),"BCCH")</f>
        <v>BCCH</v>
      </c>
      <c r="G110" s="103">
        <f ca="1">IFERROR(__xludf.DUMMYFUNCTION("""COMPUTED_VALUE"""),2)</f>
        <v>2</v>
      </c>
      <c r="H110" s="103" t="str">
        <f ca="1">IFERROR(__xludf.DUMMYFUNCTION("""COMPUTED_VALUE"""),"S")</f>
        <v>S</v>
      </c>
      <c r="I110" s="103" t="str">
        <f ca="1">IFERROR(__xludf.DUMMYFUNCTION("""COMPUTED_VALUE"""),"P")</f>
        <v>P</v>
      </c>
      <c r="J110" s="103" t="str">
        <f ca="1">IFERROR(__xludf.DUMMYFUNCTION("""COMPUTED_VALUE"""),"UAJ")</f>
        <v>UAJ</v>
      </c>
      <c r="K110" s="103" t="str">
        <f ca="1">IFERROR(__xludf.DUMMYFUNCTION("""COMPUTED_VALUE"""),"U")</f>
        <v>U</v>
      </c>
      <c r="L110" s="103"/>
      <c r="M110" s="103"/>
      <c r="N110" s="103">
        <f ca="1">IFERROR(__xludf.DUMMYFUNCTION("""COMPUTED_VALUE"""),3)</f>
        <v>3</v>
      </c>
      <c r="O110" s="103">
        <f ca="1">IFERROR(__xludf.DUMMYFUNCTION("""COMPUTED_VALUE"""),0)</f>
        <v>0</v>
      </c>
      <c r="P110" s="103">
        <f ca="1">IFERROR(__xludf.DUMMYFUNCTION("""COMPUTED_VALUE"""),0)</f>
        <v>0</v>
      </c>
      <c r="Q110" s="103">
        <f ca="1">IFERROR(__xludf.DUMMYFUNCTION("""COMPUTED_VALUE"""),0)</f>
        <v>0</v>
      </c>
      <c r="R110" s="103">
        <f ca="1">IFERROR(__xludf.DUMMYFUNCTION("""COMPUTED_VALUE"""),0)</f>
        <v>0</v>
      </c>
      <c r="S110" s="103" t="str">
        <f ca="1">IFERROR(__xludf.DUMMYFUNCTION("""COMPUTED_VALUE"""),"S")</f>
        <v>S</v>
      </c>
      <c r="T110" s="103">
        <f ca="1">IFERROR(__xludf.DUMMYFUNCTION("""COMPUTED_VALUE"""),2)</f>
        <v>2</v>
      </c>
      <c r="U110" s="103"/>
      <c r="V110" s="103"/>
      <c r="W110" s="103"/>
      <c r="X110" s="103"/>
      <c r="Y110" s="103"/>
      <c r="Z110" s="103"/>
      <c r="AA110" s="103"/>
      <c r="AB110" s="103"/>
      <c r="AC110" s="103"/>
      <c r="AD110" s="103">
        <f ca="1">IFERROR(__xludf.DUMMYFUNCTION("""COMPUTED_VALUE"""),58)</f>
        <v>58</v>
      </c>
      <c r="AE110" s="103">
        <f ca="1">IFERROR(__xludf.DUMMYFUNCTION("""COMPUTED_VALUE"""),10.8)</f>
        <v>10.8</v>
      </c>
      <c r="AF110" s="103">
        <f ca="1">IFERROR(__xludf.DUMMYFUNCTION("""COMPUTED_VALUE"""),300)</f>
        <v>300</v>
      </c>
      <c r="AG110" s="103">
        <f ca="1">IFERROR(__xludf.DUMMYFUNCTION("""COMPUTED_VALUE"""),6)</f>
        <v>6</v>
      </c>
      <c r="AH110" s="103">
        <f ca="1">IFERROR(__xludf.DUMMYFUNCTION("""COMPUTED_VALUE"""),29)</f>
        <v>29</v>
      </c>
      <c r="AI110" s="103">
        <f ca="1">IFERROR(__xludf.DUMMYFUNCTION("""COMPUTED_VALUE"""),1030)</f>
        <v>1030</v>
      </c>
      <c r="AJ110" s="103" t="str">
        <f ca="1">IFERROR(__xludf.DUMMYFUNCTION("""COMPUTED_VALUE"""),"MORS")</f>
        <v>MORS</v>
      </c>
      <c r="AK110" s="103">
        <f ca="1">IFERROR(__xludf.DUMMYFUNCTION("""COMPUTED_VALUE"""),15)</f>
        <v>15</v>
      </c>
      <c r="AL110" s="103"/>
      <c r="AM110" s="103">
        <f ca="1">IFERROR(__xludf.DUMMYFUNCTION("""COMPUTED_VALUE"""),5)</f>
        <v>5</v>
      </c>
      <c r="AN110" s="103" t="str">
        <f ca="1">IFERROR(__xludf.DUMMYFUNCTION("""COMPUTED_VALUE"""),"P5 in pin 60%")</f>
        <v>P5 in pin 60%</v>
      </c>
      <c r="AO110" s="57">
        <f ca="1">IFERROR(__xludf.DUMMYFUNCTION("""COMPUTED_VALUE"""),0)</f>
        <v>0</v>
      </c>
      <c r="AP110" s="103">
        <f ca="1">IFERROR(__xludf.DUMMYFUNCTION("""COMPUTED_VALUE"""),3)</f>
        <v>3</v>
      </c>
    </row>
    <row r="111" spans="1:72">
      <c r="A111" s="103">
        <f ca="1">IFERROR(__xludf.DUMMYFUNCTION("""COMPUTED_VALUE"""),8)</f>
        <v>8</v>
      </c>
      <c r="B111" s="103" t="str">
        <f ca="1">IFERROR(__xludf.DUMMYFUNCTION("""COMPUTED_VALUE"""),"JHT")</f>
        <v>JHT</v>
      </c>
      <c r="C111" s="103" t="str">
        <f ca="1">IFERROR(__xludf.DUMMYFUNCTION("""COMPUTED_VALUE"""),"N")</f>
        <v>N</v>
      </c>
      <c r="D111" s="103">
        <f ca="1">IFERROR(__xludf.DUMMYFUNCTION("""COMPUTED_VALUE"""),288029954)</f>
        <v>288029954</v>
      </c>
      <c r="E111" s="103" t="str">
        <f ca="1">IFERROR(__xludf.DUMMYFUNCTION("""COMPUTED_VALUE"""),"Common Yellowthroat")</f>
        <v>Common Yellowthroat</v>
      </c>
      <c r="F111" s="103" t="str">
        <f ca="1">IFERROR(__xludf.DUMMYFUNCTION("""COMPUTED_VALUE"""),"COYE")</f>
        <v>COYE</v>
      </c>
      <c r="G111" s="103">
        <f ca="1">IFERROR(__xludf.DUMMYFUNCTION("""COMPUTED_VALUE"""),2)</f>
        <v>2</v>
      </c>
      <c r="H111" s="103" t="str">
        <f ca="1">IFERROR(__xludf.DUMMYFUNCTION("""COMPUTED_VALUE"""),"S")</f>
        <v>S</v>
      </c>
      <c r="I111" s="103" t="str">
        <f ca="1">IFERROR(__xludf.DUMMYFUNCTION("""COMPUTED_VALUE"""),"P")</f>
        <v>P</v>
      </c>
      <c r="J111" s="103" t="str">
        <f ca="1">IFERROR(__xludf.DUMMYFUNCTION("""COMPUTED_VALUE"""),"UAJ")</f>
        <v>UAJ</v>
      </c>
      <c r="K111" s="103" t="str">
        <f ca="1">IFERROR(__xludf.DUMMYFUNCTION("""COMPUTED_VALUE"""),"U")</f>
        <v>U</v>
      </c>
      <c r="L111" s="103"/>
      <c r="M111" s="103"/>
      <c r="N111" s="103">
        <f ca="1">IFERROR(__xludf.DUMMYFUNCTION("""COMPUTED_VALUE"""),3)</f>
        <v>3</v>
      </c>
      <c r="O111" s="103">
        <f ca="1">IFERROR(__xludf.DUMMYFUNCTION("""COMPUTED_VALUE"""),0)</f>
        <v>0</v>
      </c>
      <c r="P111" s="103">
        <f ca="1">IFERROR(__xludf.DUMMYFUNCTION("""COMPUTED_VALUE"""),0)</f>
        <v>0</v>
      </c>
      <c r="Q111" s="103">
        <f ca="1">IFERROR(__xludf.DUMMYFUNCTION("""COMPUTED_VALUE"""),2)</f>
        <v>2</v>
      </c>
      <c r="R111" s="103">
        <f ca="1">IFERROR(__xludf.DUMMYFUNCTION("""COMPUTED_VALUE"""),0)</f>
        <v>0</v>
      </c>
      <c r="S111" s="103" t="str">
        <f ca="1">IFERROR(__xludf.DUMMYFUNCTION("""COMPUTED_VALUE"""),"N")</f>
        <v>N</v>
      </c>
      <c r="T111" s="103">
        <f ca="1">IFERROR(__xludf.DUMMYFUNCTION("""COMPUTED_VALUE"""),1)</f>
        <v>1</v>
      </c>
      <c r="U111" s="103"/>
      <c r="V111" s="103"/>
      <c r="W111" s="103"/>
      <c r="X111" s="103"/>
      <c r="Y111" s="103"/>
      <c r="Z111" s="103"/>
      <c r="AA111" s="103"/>
      <c r="AB111" s="103"/>
      <c r="AC111" s="103"/>
      <c r="AD111" s="103">
        <f ca="1">IFERROR(__xludf.DUMMYFUNCTION("""COMPUTED_VALUE"""),55)</f>
        <v>55</v>
      </c>
      <c r="AE111" s="103">
        <f ca="1">IFERROR(__xludf.DUMMYFUNCTION("""COMPUTED_VALUE"""),10.4)</f>
        <v>10.4</v>
      </c>
      <c r="AF111" s="103">
        <f ca="1">IFERROR(__xludf.DUMMYFUNCTION("""COMPUTED_VALUE"""),300)</f>
        <v>300</v>
      </c>
      <c r="AG111" s="103">
        <f ca="1">IFERROR(__xludf.DUMMYFUNCTION("""COMPUTED_VALUE"""),6)</f>
        <v>6</v>
      </c>
      <c r="AH111" s="103">
        <f ca="1">IFERROR(__xludf.DUMMYFUNCTION("""COMPUTED_VALUE"""),29)</f>
        <v>29</v>
      </c>
      <c r="AI111" s="103">
        <f ca="1">IFERROR(__xludf.DUMMYFUNCTION("""COMPUTED_VALUE"""),1030)</f>
        <v>1030</v>
      </c>
      <c r="AJ111" s="103" t="str">
        <f ca="1">IFERROR(__xludf.DUMMYFUNCTION("""COMPUTED_VALUE"""),"MORS")</f>
        <v>MORS</v>
      </c>
      <c r="AK111" s="103">
        <f ca="1">IFERROR(__xludf.DUMMYFUNCTION("""COMPUTED_VALUE"""),21)</f>
        <v>21</v>
      </c>
      <c r="AL111" s="103"/>
      <c r="AM111" s="103"/>
      <c r="AN111" s="103"/>
      <c r="AO111" s="57">
        <f ca="1">IFERROR(__xludf.DUMMYFUNCTION("""COMPUTED_VALUE"""),0)</f>
        <v>0</v>
      </c>
      <c r="AP111" s="103">
        <f ca="1">IFERROR(__xludf.DUMMYFUNCTION("""COMPUTED_VALUE"""),3)</f>
        <v>3</v>
      </c>
    </row>
    <row r="112" spans="1:72">
      <c r="A112" s="103">
        <f ca="1">IFERROR(__xludf.DUMMYFUNCTION("""COMPUTED_VALUE"""),9)</f>
        <v>9</v>
      </c>
      <c r="B112" s="103" t="str">
        <f ca="1">IFERROR(__xludf.DUMMYFUNCTION("""COMPUTED_VALUE"""),"JHT")</f>
        <v>JHT</v>
      </c>
      <c r="C112" s="103" t="str">
        <f ca="1">IFERROR(__xludf.DUMMYFUNCTION("""COMPUTED_VALUE"""),"N")</f>
        <v>N</v>
      </c>
      <c r="D112" s="103">
        <f ca="1">IFERROR(__xludf.DUMMYFUNCTION("""COMPUTED_VALUE"""),290077839)</f>
        <v>290077839</v>
      </c>
      <c r="E112" s="103" t="str">
        <f ca="1">IFERROR(__xludf.DUMMYFUNCTION("""COMPUTED_VALUE"""),"Yellow Warbler")</f>
        <v>Yellow Warbler</v>
      </c>
      <c r="F112" s="103" t="str">
        <f ca="1">IFERROR(__xludf.DUMMYFUNCTION("""COMPUTED_VALUE"""),"YEWA")</f>
        <v>YEWA</v>
      </c>
      <c r="G112" s="103">
        <f ca="1">IFERROR(__xludf.DUMMYFUNCTION("""COMPUTED_VALUE"""),1)</f>
        <v>1</v>
      </c>
      <c r="H112" s="103" t="str">
        <f ca="1">IFERROR(__xludf.DUMMYFUNCTION("""COMPUTED_VALUE"""),"S")</f>
        <v>S</v>
      </c>
      <c r="I112" s="103" t="str">
        <f ca="1">IFERROR(__xludf.DUMMYFUNCTION("""COMPUTED_VALUE"""),"B")</f>
        <v>B</v>
      </c>
      <c r="J112" s="103" t="str">
        <f ca="1">IFERROR(__xludf.DUMMYFUNCTION("""COMPUTED_VALUE"""),"UAJ")</f>
        <v>UAJ</v>
      </c>
      <c r="K112" s="103" t="str">
        <f ca="1">IFERROR(__xludf.DUMMYFUNCTION("""COMPUTED_VALUE"""),"F")</f>
        <v>F</v>
      </c>
      <c r="L112" s="103" t="str">
        <f ca="1">IFERROR(__xludf.DUMMYFUNCTION("""COMPUTED_VALUE"""),"B")</f>
        <v>B</v>
      </c>
      <c r="M112" s="103" t="str">
        <f ca="1">IFERROR(__xludf.DUMMYFUNCTION("""COMPUTED_VALUE"""),"P")</f>
        <v>P</v>
      </c>
      <c r="N112" s="103">
        <f ca="1">IFERROR(__xludf.DUMMYFUNCTION("""COMPUTED_VALUE"""),6)</f>
        <v>6</v>
      </c>
      <c r="O112" s="103">
        <f ca="1">IFERROR(__xludf.DUMMYFUNCTION("""COMPUTED_VALUE"""),0)</f>
        <v>0</v>
      </c>
      <c r="P112" s="103">
        <f ca="1">IFERROR(__xludf.DUMMYFUNCTION("""COMPUTED_VALUE"""),4)</f>
        <v>4</v>
      </c>
      <c r="Q112" s="103">
        <f ca="1">IFERROR(__xludf.DUMMYFUNCTION("""COMPUTED_VALUE"""),1)</f>
        <v>1</v>
      </c>
      <c r="R112" s="103">
        <f ca="1">IFERROR(__xludf.DUMMYFUNCTION("""COMPUTED_VALUE"""),0)</f>
        <v>0</v>
      </c>
      <c r="S112" s="103" t="str">
        <f ca="1">IFERROR(__xludf.DUMMYFUNCTION("""COMPUTED_VALUE"""),"N")</f>
        <v>N</v>
      </c>
      <c r="T112" s="103">
        <f ca="1">IFERROR(__xludf.DUMMYFUNCTION("""COMPUTED_VALUE"""),2)</f>
        <v>2</v>
      </c>
      <c r="U112" s="103"/>
      <c r="V112" s="103"/>
      <c r="W112" s="103"/>
      <c r="X112" s="103"/>
      <c r="Y112" s="103"/>
      <c r="Z112" s="103"/>
      <c r="AA112" s="103"/>
      <c r="AB112" s="103"/>
      <c r="AC112" s="103"/>
      <c r="AD112" s="103">
        <f ca="1">IFERROR(__xludf.DUMMYFUNCTION("""COMPUTED_VALUE"""),58)</f>
        <v>58</v>
      </c>
      <c r="AE112" s="103">
        <f ca="1">IFERROR(__xludf.DUMMYFUNCTION("""COMPUTED_VALUE"""),9.9)</f>
        <v>9.9</v>
      </c>
      <c r="AF112" s="103">
        <f ca="1">IFERROR(__xludf.DUMMYFUNCTION("""COMPUTED_VALUE"""),300)</f>
        <v>300</v>
      </c>
      <c r="AG112" s="103">
        <f ca="1">IFERROR(__xludf.DUMMYFUNCTION("""COMPUTED_VALUE"""),6)</f>
        <v>6</v>
      </c>
      <c r="AH112" s="103">
        <f ca="1">IFERROR(__xludf.DUMMYFUNCTION("""COMPUTED_VALUE"""),29)</f>
        <v>29</v>
      </c>
      <c r="AI112" s="103">
        <f ca="1">IFERROR(__xludf.DUMMYFUNCTION("""COMPUTED_VALUE"""),1130)</f>
        <v>1130</v>
      </c>
      <c r="AJ112" s="103" t="str">
        <f ca="1">IFERROR(__xludf.DUMMYFUNCTION("""COMPUTED_VALUE"""),"MORS")</f>
        <v>MORS</v>
      </c>
      <c r="AK112" s="103">
        <f ca="1">IFERROR(__xludf.DUMMYFUNCTION("""COMPUTED_VALUE"""),20)</f>
        <v>20</v>
      </c>
      <c r="AL112" s="103"/>
      <c r="AM112" s="103"/>
      <c r="AN112" s="103"/>
      <c r="AO112" s="57" t="str">
        <f ca="1">IFERROR(__xludf.DUMMYFUNCTION("""COMPUTED_VALUE"""),"0A")</f>
        <v>0A</v>
      </c>
      <c r="AP112" s="103">
        <f ca="1">IFERROR(__xludf.DUMMYFUNCTION("""COMPUTED_VALUE"""),3)</f>
        <v>3</v>
      </c>
    </row>
    <row r="113" spans="1:42">
      <c r="A113" s="103">
        <f ca="1">IFERROR(__xludf.DUMMYFUNCTION("""COMPUTED_VALUE"""),10)</f>
        <v>10</v>
      </c>
      <c r="B113" s="103" t="str">
        <f ca="1">IFERROR(__xludf.DUMMYFUNCTION("""COMPUTED_VALUE"""),"JHT")</f>
        <v>JHT</v>
      </c>
      <c r="C113" s="103" t="str">
        <f ca="1">IFERROR(__xludf.DUMMYFUNCTION("""COMPUTED_VALUE"""),"R")</f>
        <v>R</v>
      </c>
      <c r="D113" s="103">
        <f ca="1">IFERROR(__xludf.DUMMYFUNCTION("""COMPUTED_VALUE"""),263101289)</f>
        <v>263101289</v>
      </c>
      <c r="E113" s="103" t="str">
        <f ca="1">IFERROR(__xludf.DUMMYFUNCTION("""COMPUTED_VALUE"""),"Bewick's Wren")</f>
        <v>Bewick's Wren</v>
      </c>
      <c r="F113" s="103" t="str">
        <f ca="1">IFERROR(__xludf.DUMMYFUNCTION("""COMPUTED_VALUE"""),"BEWR")</f>
        <v>BEWR</v>
      </c>
      <c r="G113" s="103">
        <f ca="1">IFERROR(__xludf.DUMMYFUNCTION("""COMPUTED_VALUE"""),1)</f>
        <v>1</v>
      </c>
      <c r="H113" s="103" t="str">
        <f ca="1">IFERROR(__xludf.DUMMYFUNCTION("""COMPUTED_VALUE"""),"S")</f>
        <v>S</v>
      </c>
      <c r="I113" s="103" t="str">
        <f ca="1">IFERROR(__xludf.DUMMYFUNCTION("""COMPUTED_VALUE"""),"B")</f>
        <v>B</v>
      </c>
      <c r="J113" s="103" t="str">
        <f ca="1">IFERROR(__xludf.DUMMYFUNCTION("""COMPUTED_VALUE"""),"UAJ")</f>
        <v>UAJ</v>
      </c>
      <c r="K113" s="103" t="str">
        <f ca="1">IFERROR(__xludf.DUMMYFUNCTION("""COMPUTED_VALUE"""),"F")</f>
        <v>F</v>
      </c>
      <c r="L113" s="103" t="str">
        <f ca="1">IFERROR(__xludf.DUMMYFUNCTION("""COMPUTED_VALUE"""),"B")</f>
        <v>B</v>
      </c>
      <c r="M113" s="103" t="str">
        <f ca="1">IFERROR(__xludf.DUMMYFUNCTION("""COMPUTED_VALUE"""),"P")</f>
        <v>P</v>
      </c>
      <c r="N113" s="103">
        <f ca="1">IFERROR(__xludf.DUMMYFUNCTION("""COMPUTED_VALUE"""),6)</f>
        <v>6</v>
      </c>
      <c r="O113" s="103">
        <f ca="1">IFERROR(__xludf.DUMMYFUNCTION("""COMPUTED_VALUE"""),0)</f>
        <v>0</v>
      </c>
      <c r="P113" s="103">
        <f ca="1">IFERROR(__xludf.DUMMYFUNCTION("""COMPUTED_VALUE"""),4)</f>
        <v>4</v>
      </c>
      <c r="Q113" s="103">
        <f ca="1">IFERROR(__xludf.DUMMYFUNCTION("""COMPUTED_VALUE"""),1)</f>
        <v>1</v>
      </c>
      <c r="R113" s="103">
        <f ca="1">IFERROR(__xludf.DUMMYFUNCTION("""COMPUTED_VALUE"""),0)</f>
        <v>0</v>
      </c>
      <c r="S113" s="103" t="str">
        <f ca="1">IFERROR(__xludf.DUMMYFUNCTION("""COMPUTED_VALUE"""),"N")</f>
        <v>N</v>
      </c>
      <c r="T113" s="103">
        <f ca="1">IFERROR(__xludf.DUMMYFUNCTION("""COMPUTED_VALUE"""),2)</f>
        <v>2</v>
      </c>
      <c r="U113" s="103"/>
      <c r="V113" s="103"/>
      <c r="W113" s="103"/>
      <c r="X113" s="103"/>
      <c r="Y113" s="103"/>
      <c r="Z113" s="103"/>
      <c r="AA113" s="103"/>
      <c r="AB113" s="103"/>
      <c r="AC113" s="103"/>
      <c r="AD113" s="103">
        <f ca="1">IFERROR(__xludf.DUMMYFUNCTION("""COMPUTED_VALUE"""),51)</f>
        <v>51</v>
      </c>
      <c r="AE113" s="103">
        <f ca="1">IFERROR(__xludf.DUMMYFUNCTION("""COMPUTED_VALUE"""),10.9)</f>
        <v>10.9</v>
      </c>
      <c r="AF113" s="103">
        <f ca="1">IFERROR(__xludf.DUMMYFUNCTION("""COMPUTED_VALUE"""),300)</f>
        <v>300</v>
      </c>
      <c r="AG113" s="103">
        <f ca="1">IFERROR(__xludf.DUMMYFUNCTION("""COMPUTED_VALUE"""),6)</f>
        <v>6</v>
      </c>
      <c r="AH113" s="103">
        <f ca="1">IFERROR(__xludf.DUMMYFUNCTION("""COMPUTED_VALUE"""),29)</f>
        <v>29</v>
      </c>
      <c r="AI113" s="103">
        <f ca="1">IFERROR(__xludf.DUMMYFUNCTION("""COMPUTED_VALUE"""),1130)</f>
        <v>1130</v>
      </c>
      <c r="AJ113" s="103" t="str">
        <f ca="1">IFERROR(__xludf.DUMMYFUNCTION("""COMPUTED_VALUE"""),"MORS")</f>
        <v>MORS</v>
      </c>
      <c r="AK113" s="103">
        <f ca="1">IFERROR(__xludf.DUMMYFUNCTION("""COMPUTED_VALUE"""),6)</f>
        <v>6</v>
      </c>
      <c r="AL113" s="103"/>
      <c r="AM113" s="103"/>
      <c r="AN113" s="103"/>
      <c r="AO113" s="57" t="str">
        <f ca="1">IFERROR(__xludf.DUMMYFUNCTION("""COMPUTED_VALUE"""),"R")</f>
        <v>R</v>
      </c>
      <c r="AP113" s="103">
        <f ca="1">IFERROR(__xludf.DUMMYFUNCTION("""COMPUTED_VALUE"""),3)</f>
        <v>3</v>
      </c>
    </row>
    <row r="114" spans="1:42">
      <c r="A114" s="103">
        <f ca="1">IFERROR(__xludf.DUMMYFUNCTION("""COMPUTED_VALUE"""),1)</f>
        <v>1</v>
      </c>
      <c r="B114" s="103" t="str">
        <f ca="1">IFERROR(__xludf.DUMMYFUNCTION("""COMPUTED_VALUE"""),"ACC")</f>
        <v>ACC</v>
      </c>
      <c r="C114" s="103" t="str">
        <f ca="1">IFERROR(__xludf.DUMMYFUNCTION("""COMPUTED_VALUE"""),"N")</f>
        <v>N</v>
      </c>
      <c r="D114" s="103">
        <f ca="1">IFERROR(__xludf.DUMMYFUNCTION("""COMPUTED_VALUE"""),135291871)</f>
        <v>135291871</v>
      </c>
      <c r="E114" s="103" t="str">
        <f ca="1">IFERROR(__xludf.DUMMYFUNCTION("""COMPUTED_VALUE"""),"Spotted Towhee")</f>
        <v>Spotted Towhee</v>
      </c>
      <c r="F114" s="103" t="str">
        <f ca="1">IFERROR(__xludf.DUMMYFUNCTION("""COMPUTED_VALUE"""),"SPTO")</f>
        <v>SPTO</v>
      </c>
      <c r="G114" s="103">
        <f ca="1">IFERROR(__xludf.DUMMYFUNCTION("""COMPUTED_VALUE"""),2)</f>
        <v>2</v>
      </c>
      <c r="H114" s="103" t="str">
        <f ca="1">IFERROR(__xludf.DUMMYFUNCTION("""COMPUTED_VALUE"""),"P")</f>
        <v>P</v>
      </c>
      <c r="I114" s="103" t="str">
        <f ca="1">IFERROR(__xludf.DUMMYFUNCTION("""COMPUTED_VALUE"""),"J")</f>
        <v>J</v>
      </c>
      <c r="J114" s="103" t="str">
        <f ca="1">IFERROR(__xludf.DUMMYFUNCTION("""COMPUTED_VALUE"""),"FPJ")</f>
        <v>FPJ</v>
      </c>
      <c r="K114" s="103" t="str">
        <f ca="1">IFERROR(__xludf.DUMMYFUNCTION("""COMPUTED_VALUE"""),"U")</f>
        <v>U</v>
      </c>
      <c r="L114" s="103"/>
      <c r="M114" s="103"/>
      <c r="N114" s="103"/>
      <c r="O114" s="103"/>
      <c r="P114" s="103"/>
      <c r="Q114" s="103">
        <f ca="1">IFERROR(__xludf.DUMMYFUNCTION("""COMPUTED_VALUE"""),3)</f>
        <v>3</v>
      </c>
      <c r="R114" s="103">
        <f ca="1">IFERROR(__xludf.DUMMYFUNCTION("""COMPUTED_VALUE"""),2)</f>
        <v>2</v>
      </c>
      <c r="S114" s="103" t="str">
        <f ca="1">IFERROR(__xludf.DUMMYFUNCTION("""COMPUTED_VALUE"""),"J")</f>
        <v>J</v>
      </c>
      <c r="T114" s="103">
        <f ca="1">IFERROR(__xludf.DUMMYFUNCTION("""COMPUTED_VALUE"""),1)</f>
        <v>1</v>
      </c>
      <c r="U114" s="103">
        <f ca="1">IFERROR(__xludf.DUMMYFUNCTION("""COMPUTED_VALUE"""),2)</f>
        <v>2</v>
      </c>
      <c r="V114" s="103" t="str">
        <f ca="1">IFERROR(__xludf.DUMMYFUNCTION("""COMPUTED_VALUE"""),"J")</f>
        <v>J</v>
      </c>
      <c r="W114" s="103" t="str">
        <f ca="1">IFERROR(__xludf.DUMMYFUNCTION("""COMPUTED_VALUE"""),"J")</f>
        <v>J</v>
      </c>
      <c r="X114" s="103"/>
      <c r="Y114" s="103"/>
      <c r="Z114" s="103"/>
      <c r="AA114" s="103"/>
      <c r="AB114" s="103"/>
      <c r="AC114" s="103"/>
      <c r="AD114" s="103">
        <f ca="1">IFERROR(__xludf.DUMMYFUNCTION("""COMPUTED_VALUE"""),75)</f>
        <v>75</v>
      </c>
      <c r="AE114" s="103">
        <f ca="1">IFERROR(__xludf.DUMMYFUNCTION("""COMPUTED_VALUE"""),37.8)</f>
        <v>37.799999999999997</v>
      </c>
      <c r="AF114" s="103">
        <f ca="1">IFERROR(__xludf.DUMMYFUNCTION("""COMPUTED_VALUE"""),300)</f>
        <v>300</v>
      </c>
      <c r="AG114" s="103">
        <f ca="1">IFERROR(__xludf.DUMMYFUNCTION("""COMPUTED_VALUE"""),6)</f>
        <v>6</v>
      </c>
      <c r="AH114" s="103">
        <f ca="1">IFERROR(__xludf.DUMMYFUNCTION("""COMPUTED_VALUE"""),29)</f>
        <v>29</v>
      </c>
      <c r="AI114" s="103">
        <f ca="1">IFERROR(__xludf.DUMMYFUNCTION("""COMPUTED_VALUE"""),630)</f>
        <v>630</v>
      </c>
      <c r="AJ114" s="103" t="str">
        <f ca="1">IFERROR(__xludf.DUMMYFUNCTION("""COMPUTED_VALUE"""),"MORS")</f>
        <v>MORS</v>
      </c>
      <c r="AK114" s="103">
        <f ca="1">IFERROR(__xludf.DUMMYFUNCTION("""COMPUTED_VALUE"""),2)</f>
        <v>2</v>
      </c>
      <c r="AL114" s="103"/>
      <c r="AM114" s="103"/>
      <c r="AN114" s="103"/>
      <c r="AO114" s="57">
        <f ca="1">IFERROR(__xludf.DUMMYFUNCTION("""COMPUTED_VALUE"""),2)</f>
        <v>2</v>
      </c>
      <c r="AP114" s="103">
        <f ca="1">IFERROR(__xludf.DUMMYFUNCTION("""COMPUTED_VALUE"""),4)</f>
        <v>4</v>
      </c>
    </row>
    <row r="115" spans="1:42">
      <c r="A115" s="103">
        <f ca="1">IFERROR(__xludf.DUMMYFUNCTION("""COMPUTED_VALUE"""),2)</f>
        <v>2</v>
      </c>
      <c r="B115" s="103" t="str">
        <f ca="1">IFERROR(__xludf.DUMMYFUNCTION("""COMPUTED_VALUE"""),"ACC")</f>
        <v>ACC</v>
      </c>
      <c r="C115" s="103" t="str">
        <f ca="1">IFERROR(__xludf.DUMMYFUNCTION("""COMPUTED_VALUE"""),"N")</f>
        <v>N</v>
      </c>
      <c r="D115" s="103">
        <f ca="1">IFERROR(__xludf.DUMMYFUNCTION("""COMPUTED_VALUE"""),172176241)</f>
        <v>172176241</v>
      </c>
      <c r="E115" s="103" t="str">
        <f ca="1">IFERROR(__xludf.DUMMYFUNCTION("""COMPUTED_VALUE"""),"Song Sparrow")</f>
        <v>Song Sparrow</v>
      </c>
      <c r="F115" s="103" t="str">
        <f ca="1">IFERROR(__xludf.DUMMYFUNCTION("""COMPUTED_VALUE"""),"SOSP")</f>
        <v>SOSP</v>
      </c>
      <c r="G115" s="103">
        <f ca="1">IFERROR(__xludf.DUMMYFUNCTION("""COMPUTED_VALUE"""),1)</f>
        <v>1</v>
      </c>
      <c r="H115" s="103" t="str">
        <f ca="1">IFERROR(__xludf.DUMMYFUNCTION("""COMPUTED_VALUE"""),"B")</f>
        <v>B</v>
      </c>
      <c r="I115" s="103"/>
      <c r="J115" s="103" t="str">
        <f ca="1">IFERROR(__xludf.DUMMYFUNCTION("""COMPUTED_VALUE"""),"FAJ")</f>
        <v>FAJ</v>
      </c>
      <c r="K115" s="103" t="str">
        <f ca="1">IFERROR(__xludf.DUMMYFUNCTION("""COMPUTED_VALUE"""),"F")</f>
        <v>F</v>
      </c>
      <c r="L115" s="103" t="str">
        <f ca="1">IFERROR(__xludf.DUMMYFUNCTION("""COMPUTED_VALUE"""),"B")</f>
        <v>B</v>
      </c>
      <c r="M115" s="103"/>
      <c r="N115" s="103"/>
      <c r="O115" s="103">
        <f ca="1">IFERROR(__xludf.DUMMYFUNCTION("""COMPUTED_VALUE"""),0)</f>
        <v>0</v>
      </c>
      <c r="P115" s="103">
        <f ca="1">IFERROR(__xludf.DUMMYFUNCTION("""COMPUTED_VALUE"""),4)</f>
        <v>4</v>
      </c>
      <c r="Q115" s="103">
        <f ca="1">IFERROR(__xludf.DUMMYFUNCTION("""COMPUTED_VALUE"""),0)</f>
        <v>0</v>
      </c>
      <c r="R115" s="103">
        <f ca="1">IFERROR(__xludf.DUMMYFUNCTION("""COMPUTED_VALUE"""),0)</f>
        <v>0</v>
      </c>
      <c r="S115" s="103" t="str">
        <f ca="1">IFERROR(__xludf.DUMMYFUNCTION("""COMPUTED_VALUE"""),"N")</f>
        <v>N</v>
      </c>
      <c r="T115" s="103">
        <f ca="1">IFERROR(__xludf.DUMMYFUNCTION("""COMPUTED_VALUE"""),2)</f>
        <v>2</v>
      </c>
      <c r="U115" s="103"/>
      <c r="V115" s="103"/>
      <c r="W115" s="103"/>
      <c r="X115" s="103"/>
      <c r="Y115" s="103"/>
      <c r="Z115" s="103"/>
      <c r="AA115" s="103"/>
      <c r="AB115" s="103"/>
      <c r="AC115" s="103"/>
      <c r="AD115" s="103">
        <f ca="1">IFERROR(__xludf.DUMMYFUNCTION("""COMPUTED_VALUE"""),62)</f>
        <v>62</v>
      </c>
      <c r="AE115" s="103">
        <f ca="1">IFERROR(__xludf.DUMMYFUNCTION("""COMPUTED_VALUE"""),20.7)</f>
        <v>20.7</v>
      </c>
      <c r="AF115" s="103">
        <f ca="1">IFERROR(__xludf.DUMMYFUNCTION("""COMPUTED_VALUE"""),300)</f>
        <v>300</v>
      </c>
      <c r="AG115" s="103">
        <f ca="1">IFERROR(__xludf.DUMMYFUNCTION("""COMPUTED_VALUE"""),6)</f>
        <v>6</v>
      </c>
      <c r="AH115" s="103">
        <f ca="1">IFERROR(__xludf.DUMMYFUNCTION("""COMPUTED_VALUE"""),29)</f>
        <v>29</v>
      </c>
      <c r="AI115" s="103">
        <f ca="1">IFERROR(__xludf.DUMMYFUNCTION("""COMPUTED_VALUE"""),730)</f>
        <v>730</v>
      </c>
      <c r="AJ115" s="103" t="str">
        <f ca="1">IFERROR(__xludf.DUMMYFUNCTION("""COMPUTED_VALUE"""),"MORS")</f>
        <v>MORS</v>
      </c>
      <c r="AK115" s="103">
        <f ca="1">IFERROR(__xludf.DUMMYFUNCTION("""COMPUTED_VALUE"""),10)</f>
        <v>10</v>
      </c>
      <c r="AL115" s="103"/>
      <c r="AM115" s="103"/>
      <c r="AN115" s="103"/>
      <c r="AO115" s="57" t="str">
        <f ca="1">IFERROR(__xludf.DUMMYFUNCTION("""COMPUTED_VALUE"""),"1B")</f>
        <v>1B</v>
      </c>
      <c r="AP115" s="103">
        <f ca="1">IFERROR(__xludf.DUMMYFUNCTION("""COMPUTED_VALUE"""),4)</f>
        <v>4</v>
      </c>
    </row>
    <row r="116" spans="1:42">
      <c r="A116" s="103">
        <f ca="1">IFERROR(__xludf.DUMMYFUNCTION("""COMPUTED_VALUE"""),3)</f>
        <v>3</v>
      </c>
      <c r="B116" s="103" t="str">
        <f ca="1">IFERROR(__xludf.DUMMYFUNCTION("""COMPUTED_VALUE"""),"ACC")</f>
        <v>ACC</v>
      </c>
      <c r="C116" s="103" t="str">
        <f ca="1">IFERROR(__xludf.DUMMYFUNCTION("""COMPUTED_VALUE"""),"U")</f>
        <v>U</v>
      </c>
      <c r="D116" s="103"/>
      <c r="E116" s="103" t="str">
        <f ca="1">IFERROR(__xludf.DUMMYFUNCTION("""COMPUTED_VALUE"""),"Anna's Hummingbird")</f>
        <v>Anna's Hummingbird</v>
      </c>
      <c r="F116" s="103" t="str">
        <f ca="1">IFERROR(__xludf.DUMMYFUNCTION("""COMPUTED_VALUE"""),"ANHU")</f>
        <v>ANHU</v>
      </c>
      <c r="G116" s="103">
        <f ca="1">IFERROR(__xludf.DUMMYFUNCTION("""COMPUTED_VALUE"""),1)</f>
        <v>1</v>
      </c>
      <c r="H116" s="103" t="str">
        <f ca="1">IFERROR(__xludf.DUMMYFUNCTION("""COMPUTED_VALUE"""),"P")</f>
        <v>P</v>
      </c>
      <c r="I116" s="103"/>
      <c r="J116" s="103" t="str">
        <f ca="1">IFERROR(__xludf.DUMMYFUNCTION("""COMPUTED_VALUE"""),"FAJ")</f>
        <v>FAJ</v>
      </c>
      <c r="K116" s="103" t="str">
        <f ca="1">IFERROR(__xludf.DUMMYFUNCTION("""COMPUTED_VALUE"""),"M")</f>
        <v>M</v>
      </c>
      <c r="L116" s="103" t="str">
        <f ca="1">IFERROR(__xludf.DUMMYFUNCTION("""COMPUTED_VALUE"""),"P")</f>
        <v>P</v>
      </c>
      <c r="M116" s="103"/>
      <c r="N116" s="103"/>
      <c r="O116" s="103"/>
      <c r="P116" s="103"/>
      <c r="Q116" s="103"/>
      <c r="R116" s="103">
        <f ca="1">IFERROR(__xludf.DUMMYFUNCTION("""COMPUTED_VALUE"""),3)</f>
        <v>3</v>
      </c>
      <c r="S116" s="103" t="str">
        <f ca="1">IFERROR(__xludf.DUMMYFUNCTION("""COMPUTED_VALUE"""),"S")</f>
        <v>S</v>
      </c>
      <c r="T116" s="103">
        <f ca="1">IFERROR(__xludf.DUMMYFUNCTION("""COMPUTED_VALUE"""),0)</f>
        <v>0</v>
      </c>
      <c r="U116" s="103">
        <f ca="1">IFERROR(__xludf.DUMMYFUNCTION("""COMPUTED_VALUE"""),0)</f>
        <v>0</v>
      </c>
      <c r="V116" s="103"/>
      <c r="W116" s="103"/>
      <c r="X116" s="103"/>
      <c r="Y116" s="103"/>
      <c r="Z116" s="103"/>
      <c r="AA116" s="103"/>
      <c r="AB116" s="103"/>
      <c r="AC116" s="103"/>
      <c r="AD116" s="103"/>
      <c r="AE116" s="103"/>
      <c r="AF116" s="103">
        <f ca="1">IFERROR(__xludf.DUMMYFUNCTION("""COMPUTED_VALUE"""),300)</f>
        <v>300</v>
      </c>
      <c r="AG116" s="103">
        <f ca="1">IFERROR(__xludf.DUMMYFUNCTION("""COMPUTED_VALUE"""),6)</f>
        <v>6</v>
      </c>
      <c r="AH116" s="103">
        <f ca="1">IFERROR(__xludf.DUMMYFUNCTION("""COMPUTED_VALUE"""),29)</f>
        <v>29</v>
      </c>
      <c r="AI116" s="103">
        <f ca="1">IFERROR(__xludf.DUMMYFUNCTION("""COMPUTED_VALUE"""),8)</f>
        <v>8</v>
      </c>
      <c r="AJ116" s="103" t="str">
        <f ca="1">IFERROR(__xludf.DUMMYFUNCTION("""COMPUTED_VALUE"""),"MORS")</f>
        <v>MORS</v>
      </c>
      <c r="AK116" s="103">
        <f ca="1">IFERROR(__xludf.DUMMYFUNCTION("""COMPUTED_VALUE"""),15)</f>
        <v>15</v>
      </c>
      <c r="AL116" s="103"/>
      <c r="AM116" s="103">
        <f ca="1">IFERROR(__xludf.DUMMYFUNCTION("""COMPUTED_VALUE"""),1)</f>
        <v>1</v>
      </c>
      <c r="AN116" s="103" t="str">
        <f ca="1">IFERROR(__xludf.DUMMYFUNCTION("""COMPUTED_VALUE"""),"Full gorget and complete deep rose head. Molting. No bill corregations.")</f>
        <v>Full gorget and complete deep rose head. Molting. No bill corregations.</v>
      </c>
      <c r="AO116" s="57" t="str">
        <f ca="1">IFERROR(__xludf.DUMMYFUNCTION("""COMPUTED_VALUE"""),"U")</f>
        <v>U</v>
      </c>
      <c r="AP116" s="103">
        <f ca="1">IFERROR(__xludf.DUMMYFUNCTION("""COMPUTED_VALUE"""),4)</f>
        <v>4</v>
      </c>
    </row>
    <row r="117" spans="1:42">
      <c r="A117" s="103">
        <f ca="1">IFERROR(__xludf.DUMMYFUNCTION("""COMPUTED_VALUE"""),4)</f>
        <v>4</v>
      </c>
      <c r="B117" s="103" t="str">
        <f ca="1">IFERROR(__xludf.DUMMYFUNCTION("""COMPUTED_VALUE"""),"ACC")</f>
        <v>ACC</v>
      </c>
      <c r="C117" s="103" t="str">
        <f ca="1">IFERROR(__xludf.DUMMYFUNCTION("""COMPUTED_VALUE"""),"N")</f>
        <v>N</v>
      </c>
      <c r="D117" s="103">
        <f ca="1">IFERROR(__xludf.DUMMYFUNCTION("""COMPUTED_VALUE"""),172176243)</f>
        <v>172176243</v>
      </c>
      <c r="E117" s="103" t="str">
        <f ca="1">IFERROR(__xludf.DUMMYFUNCTION("""COMPUTED_VALUE"""),"Cedar Waxwing")</f>
        <v>Cedar Waxwing</v>
      </c>
      <c r="F117" s="103" t="str">
        <f ca="1">IFERROR(__xludf.DUMMYFUNCTION("""COMPUTED_VALUE"""),"CEDW")</f>
        <v>CEDW</v>
      </c>
      <c r="G117" s="103">
        <f ca="1">IFERROR(__xludf.DUMMYFUNCTION("""COMPUTED_VALUE"""),2)</f>
        <v>2</v>
      </c>
      <c r="H117" s="103" t="str">
        <f ca="1">IFERROR(__xludf.DUMMYFUNCTION("""COMPUTED_VALUE"""),"P")</f>
        <v>P</v>
      </c>
      <c r="I117" s="103" t="str">
        <f ca="1">IFERROR(__xludf.DUMMYFUNCTION("""COMPUTED_VALUE"""),"I")</f>
        <v>I</v>
      </c>
      <c r="J117" s="103" t="str">
        <f ca="1">IFERROR(__xludf.DUMMYFUNCTION("""COMPUTED_VALUE"""),"FPJ")</f>
        <v>FPJ</v>
      </c>
      <c r="K117" s="103" t="str">
        <f ca="1">IFERROR(__xludf.DUMMYFUNCTION("""COMPUTED_VALUE"""),"U")</f>
        <v>U</v>
      </c>
      <c r="L117" s="103"/>
      <c r="M117" s="103"/>
      <c r="N117" s="103"/>
      <c r="O117" s="103">
        <f ca="1">IFERROR(__xludf.DUMMYFUNCTION("""COMPUTED_VALUE"""),0)</f>
        <v>0</v>
      </c>
      <c r="P117" s="103"/>
      <c r="Q117" s="103">
        <f ca="1">IFERROR(__xludf.DUMMYFUNCTION("""COMPUTED_VALUE"""),2)</f>
        <v>2</v>
      </c>
      <c r="R117" s="103"/>
      <c r="S117" s="103" t="str">
        <f ca="1">IFERROR(__xludf.DUMMYFUNCTION("""COMPUTED_VALUE"""),"J")</f>
        <v>J</v>
      </c>
      <c r="T117" s="103">
        <f ca="1">IFERROR(__xludf.DUMMYFUNCTION("""COMPUTED_VALUE"""),0)</f>
        <v>0</v>
      </c>
      <c r="U117" s="103">
        <f ca="1">IFERROR(__xludf.DUMMYFUNCTION("""COMPUTED_VALUE"""),3)</f>
        <v>3</v>
      </c>
      <c r="V117" s="103"/>
      <c r="W117" s="103"/>
      <c r="X117" s="103"/>
      <c r="Y117" s="103"/>
      <c r="Z117" s="103"/>
      <c r="AA117" s="103"/>
      <c r="AB117" s="103"/>
      <c r="AC117" s="103"/>
      <c r="AD117" s="103">
        <f ca="1">IFERROR(__xludf.DUMMYFUNCTION("""COMPUTED_VALUE"""),77)</f>
        <v>77</v>
      </c>
      <c r="AE117" s="103">
        <f ca="1">IFERROR(__xludf.DUMMYFUNCTION("""COMPUTED_VALUE"""),30.1)</f>
        <v>30.1</v>
      </c>
      <c r="AF117" s="103">
        <f ca="1">IFERROR(__xludf.DUMMYFUNCTION("""COMPUTED_VALUE"""),300)</f>
        <v>300</v>
      </c>
      <c r="AG117" s="103">
        <f ca="1">IFERROR(__xludf.DUMMYFUNCTION("""COMPUTED_VALUE"""),6)</f>
        <v>6</v>
      </c>
      <c r="AH117" s="103">
        <f ca="1">IFERROR(__xludf.DUMMYFUNCTION("""COMPUTED_VALUE"""),29)</f>
        <v>29</v>
      </c>
      <c r="AI117" s="103">
        <f ca="1">IFERROR(__xludf.DUMMYFUNCTION("""COMPUTED_VALUE"""),830)</f>
        <v>830</v>
      </c>
      <c r="AJ117" s="103" t="str">
        <f ca="1">IFERROR(__xludf.DUMMYFUNCTION("""COMPUTED_VALUE"""),"MORS")</f>
        <v>MORS</v>
      </c>
      <c r="AK117" s="103">
        <f ca="1">IFERROR(__xludf.DUMMYFUNCTION("""COMPUTED_VALUE"""),15)</f>
        <v>15</v>
      </c>
      <c r="AL117" s="103"/>
      <c r="AM117" s="103"/>
      <c r="AN117" s="103"/>
      <c r="AO117" s="57" t="str">
        <f ca="1">IFERROR(__xludf.DUMMYFUNCTION("""COMPUTED_VALUE"""),"1B")</f>
        <v>1B</v>
      </c>
      <c r="AP117" s="103">
        <f ca="1">IFERROR(__xludf.DUMMYFUNCTION("""COMPUTED_VALUE"""),4)</f>
        <v>4</v>
      </c>
    </row>
    <row r="118" spans="1:42">
      <c r="A118" s="103">
        <f ca="1">IFERROR(__xludf.DUMMYFUNCTION("""COMPUTED_VALUE"""),5)</f>
        <v>5</v>
      </c>
      <c r="B118" s="103" t="str">
        <f ca="1">IFERROR(__xludf.DUMMYFUNCTION("""COMPUTED_VALUE"""),"ACC")</f>
        <v>ACC</v>
      </c>
      <c r="C118" s="103" t="str">
        <f ca="1">IFERROR(__xludf.DUMMYFUNCTION("""COMPUTED_VALUE"""),"N")</f>
        <v>N</v>
      </c>
      <c r="D118" s="103">
        <f ca="1">IFERROR(__xludf.DUMMYFUNCTION("""COMPUTED_VALUE"""),230196610)</f>
        <v>230196610</v>
      </c>
      <c r="E118" s="103" t="str">
        <f ca="1">IFERROR(__xludf.DUMMYFUNCTION("""COMPUTED_VALUE"""),"Black-headed Grosbeak")</f>
        <v>Black-headed Grosbeak</v>
      </c>
      <c r="F118" s="103" t="str">
        <f ca="1">IFERROR(__xludf.DUMMYFUNCTION("""COMPUTED_VALUE"""),"BHGR")</f>
        <v>BHGR</v>
      </c>
      <c r="G118" s="103">
        <f ca="1">IFERROR(__xludf.DUMMYFUNCTION("""COMPUTED_VALUE"""),6)</f>
        <v>6</v>
      </c>
      <c r="H118" s="103" t="str">
        <f ca="1">IFERROR(__xludf.DUMMYFUNCTION("""COMPUTED_VALUE"""),"P")</f>
        <v>P</v>
      </c>
      <c r="I118" s="103"/>
      <c r="J118" s="103" t="str">
        <f ca="1">IFERROR(__xludf.DUMMYFUNCTION("""COMPUTED_VALUE"""),"DCB")</f>
        <v>DCB</v>
      </c>
      <c r="K118" s="103" t="str">
        <f ca="1">IFERROR(__xludf.DUMMYFUNCTION("""COMPUTED_VALUE"""),"F")</f>
        <v>F</v>
      </c>
      <c r="L118" s="103" t="str">
        <f ca="1">IFERROR(__xludf.DUMMYFUNCTION("""COMPUTED_VALUE"""),"P")</f>
        <v>P</v>
      </c>
      <c r="M118" s="103" t="str">
        <f ca="1">IFERROR(__xludf.DUMMYFUNCTION("""COMPUTED_VALUE"""),"B")</f>
        <v>B</v>
      </c>
      <c r="N118" s="103"/>
      <c r="O118" s="103">
        <f ca="1">IFERROR(__xludf.DUMMYFUNCTION("""COMPUTED_VALUE"""),0)</f>
        <v>0</v>
      </c>
      <c r="P118" s="103">
        <f ca="1">IFERROR(__xludf.DUMMYFUNCTION("""COMPUTED_VALUE"""),3)</f>
        <v>3</v>
      </c>
      <c r="Q118" s="103">
        <f ca="1">IFERROR(__xludf.DUMMYFUNCTION("""COMPUTED_VALUE"""),2)</f>
        <v>2</v>
      </c>
      <c r="R118" s="103"/>
      <c r="S118" s="103" t="str">
        <f ca="1">IFERROR(__xludf.DUMMYFUNCTION("""COMPUTED_VALUE"""),"N")</f>
        <v>N</v>
      </c>
      <c r="T118" s="103">
        <f ca="1">IFERROR(__xludf.DUMMYFUNCTION("""COMPUTED_VALUE"""),3)</f>
        <v>3</v>
      </c>
      <c r="U118" s="103">
        <f ca="1">IFERROR(__xludf.DUMMYFUNCTION("""COMPUTED_VALUE"""),0)</f>
        <v>0</v>
      </c>
      <c r="V118" s="103" t="str">
        <f ca="1">IFERROR(__xludf.DUMMYFUNCTION("""COMPUTED_VALUE"""),"B")</f>
        <v>B</v>
      </c>
      <c r="W118" s="103" t="str">
        <f ca="1">IFERROR(__xludf.DUMMYFUNCTION("""COMPUTED_VALUE"""),"B")</f>
        <v>B</v>
      </c>
      <c r="X118" s="103"/>
      <c r="Y118" s="103"/>
      <c r="Z118" s="103"/>
      <c r="AA118" s="103"/>
      <c r="AB118" s="103"/>
      <c r="AC118" s="103"/>
      <c r="AD118" s="103">
        <f ca="1">IFERROR(__xludf.DUMMYFUNCTION("""COMPUTED_VALUE"""),98)</f>
        <v>98</v>
      </c>
      <c r="AE118" s="103"/>
      <c r="AF118" s="103">
        <f ca="1">IFERROR(__xludf.DUMMYFUNCTION("""COMPUTED_VALUE"""),300)</f>
        <v>300</v>
      </c>
      <c r="AG118" s="103">
        <f ca="1">IFERROR(__xludf.DUMMYFUNCTION("""COMPUTED_VALUE"""),6)</f>
        <v>6</v>
      </c>
      <c r="AH118" s="103">
        <f ca="1">IFERROR(__xludf.DUMMYFUNCTION("""COMPUTED_VALUE"""),29)</f>
        <v>29</v>
      </c>
      <c r="AI118" s="103">
        <f ca="1">IFERROR(__xludf.DUMMYFUNCTION("""COMPUTED_VALUE"""),9)</f>
        <v>9</v>
      </c>
      <c r="AJ118" s="103" t="str">
        <f ca="1">IFERROR(__xludf.DUMMYFUNCTION("""COMPUTED_VALUE"""),"MORS")</f>
        <v>MORS</v>
      </c>
      <c r="AK118" s="103">
        <f ca="1">IFERROR(__xludf.DUMMYFUNCTION("""COMPUTED_VALUE"""),2)</f>
        <v>2</v>
      </c>
      <c r="AL118" s="103"/>
      <c r="AM118" s="103">
        <f ca="1">IFERROR(__xludf.DUMMYFUNCTION("""COMPUTED_VALUE"""),2)</f>
        <v>2</v>
      </c>
      <c r="AN118" s="103" t="str">
        <f ca="1">IFERROR(__xludf.DUMMYFUNCTION("""COMPUTED_VALUE"""),"White wing patch 6mm")</f>
        <v>White wing patch 6mm</v>
      </c>
      <c r="AO118" s="57" t="str">
        <f ca="1">IFERROR(__xludf.DUMMYFUNCTION("""COMPUTED_VALUE"""),"1A")</f>
        <v>1A</v>
      </c>
      <c r="AP118" s="103">
        <f ca="1">IFERROR(__xludf.DUMMYFUNCTION("""COMPUTED_VALUE"""),4)</f>
        <v>4</v>
      </c>
    </row>
    <row r="119" spans="1:42">
      <c r="A119" s="103">
        <f ca="1">IFERROR(__xludf.DUMMYFUNCTION("""COMPUTED_VALUE"""),6)</f>
        <v>6</v>
      </c>
      <c r="B119" s="103" t="str">
        <f ca="1">IFERROR(__xludf.DUMMYFUNCTION("""COMPUTED_VALUE"""),"ACC")</f>
        <v>ACC</v>
      </c>
      <c r="C119" s="103" t="str">
        <f ca="1">IFERROR(__xludf.DUMMYFUNCTION("""COMPUTED_VALUE"""),"R")</f>
        <v>R</v>
      </c>
      <c r="D119" s="103">
        <f ca="1">IFERROR(__xludf.DUMMYFUNCTION("""COMPUTED_VALUE"""),135291818)</f>
        <v>135291818</v>
      </c>
      <c r="E119" s="103" t="str">
        <f ca="1">IFERROR(__xludf.DUMMYFUNCTION("""COMPUTED_VALUE"""),"American Robin")</f>
        <v>American Robin</v>
      </c>
      <c r="F119" s="103" t="str">
        <f ca="1">IFERROR(__xludf.DUMMYFUNCTION("""COMPUTED_VALUE"""),"AMRO")</f>
        <v>AMRO</v>
      </c>
      <c r="G119" s="103">
        <f ca="1">IFERROR(__xludf.DUMMYFUNCTION("""COMPUTED_VALUE"""),6)</f>
        <v>6</v>
      </c>
      <c r="H119" s="103" t="str">
        <f ca="1">IFERROR(__xludf.DUMMYFUNCTION("""COMPUTED_VALUE"""),"P")</f>
        <v>P</v>
      </c>
      <c r="I119" s="103"/>
      <c r="J119" s="103" t="str">
        <f ca="1">IFERROR(__xludf.DUMMYFUNCTION("""COMPUTED_VALUE"""),"DCB")</f>
        <v>DCB</v>
      </c>
      <c r="K119" s="103" t="str">
        <f ca="1">IFERROR(__xludf.DUMMYFUNCTION("""COMPUTED_VALUE"""),"M")</f>
        <v>M</v>
      </c>
      <c r="L119" s="103" t="str">
        <f ca="1">IFERROR(__xludf.DUMMYFUNCTION("""COMPUTED_VALUE"""),"C")</f>
        <v>C</v>
      </c>
      <c r="M119" s="103"/>
      <c r="N119" s="103"/>
      <c r="O119" s="103">
        <f ca="1">IFERROR(__xludf.DUMMYFUNCTION("""COMPUTED_VALUE"""),1)</f>
        <v>1</v>
      </c>
      <c r="P119" s="103">
        <f ca="1">IFERROR(__xludf.DUMMYFUNCTION("""COMPUTED_VALUE"""),0)</f>
        <v>0</v>
      </c>
      <c r="Q119" s="103"/>
      <c r="R119" s="103"/>
      <c r="S119" s="103" t="str">
        <f ca="1">IFERROR(__xludf.DUMMYFUNCTION("""COMPUTED_VALUE"""),"N")</f>
        <v>N</v>
      </c>
      <c r="T119" s="103">
        <f ca="1">IFERROR(__xludf.DUMMYFUNCTION("""COMPUTED_VALUE"""),3)</f>
        <v>3</v>
      </c>
      <c r="U119" s="103"/>
      <c r="V119" s="103"/>
      <c r="W119" s="103"/>
      <c r="X119" s="103" t="str">
        <f ca="1">IFERROR(__xludf.DUMMYFUNCTION("""COMPUTED_VALUE"""),"B")</f>
        <v>B</v>
      </c>
      <c r="Y119" s="103" t="str">
        <f ca="1">IFERROR(__xludf.DUMMYFUNCTION("""COMPUTED_VALUE"""),"B")</f>
        <v>B</v>
      </c>
      <c r="Z119" s="103"/>
      <c r="AA119" s="103" t="str">
        <f ca="1">IFERROR(__xludf.DUMMYFUNCTION("""COMPUTED_VALUE"""),"B")</f>
        <v>B</v>
      </c>
      <c r="AB119" s="103"/>
      <c r="AC119" s="103"/>
      <c r="AD119" s="103">
        <f ca="1">IFERROR(__xludf.DUMMYFUNCTION("""COMPUTED_VALUE"""),131)</f>
        <v>131</v>
      </c>
      <c r="AE119" s="103">
        <f ca="1">IFERROR(__xludf.DUMMYFUNCTION("""COMPUTED_VALUE"""),72)</f>
        <v>72</v>
      </c>
      <c r="AF119" s="103">
        <f ca="1">IFERROR(__xludf.DUMMYFUNCTION("""COMPUTED_VALUE"""),300)</f>
        <v>300</v>
      </c>
      <c r="AG119" s="103">
        <f ca="1">IFERROR(__xludf.DUMMYFUNCTION("""COMPUTED_VALUE"""),6)</f>
        <v>6</v>
      </c>
      <c r="AH119" s="103">
        <f ca="1">IFERROR(__xludf.DUMMYFUNCTION("""COMPUTED_VALUE"""),29)</f>
        <v>29</v>
      </c>
      <c r="AI119" s="103">
        <f ca="1">IFERROR(__xludf.DUMMYFUNCTION("""COMPUTED_VALUE"""),1030)</f>
        <v>1030</v>
      </c>
      <c r="AJ119" s="103" t="str">
        <f ca="1">IFERROR(__xludf.DUMMYFUNCTION("""COMPUTED_VALUE"""),"MORS")</f>
        <v>MORS</v>
      </c>
      <c r="AK119" s="103">
        <f ca="1">IFERROR(__xludf.DUMMYFUNCTION("""COMPUTED_VALUE"""),20)</f>
        <v>20</v>
      </c>
      <c r="AL119" s="103"/>
      <c r="AM119" s="103"/>
      <c r="AN119" s="103"/>
      <c r="AO119" s="57" t="str">
        <f ca="1">IFERROR(__xludf.DUMMYFUNCTION("""COMPUTED_VALUE"""),"R")</f>
        <v>R</v>
      </c>
      <c r="AP119" s="103">
        <f ca="1">IFERROR(__xludf.DUMMYFUNCTION("""COMPUTED_VALUE"""),4)</f>
        <v>4</v>
      </c>
    </row>
    <row r="120" spans="1:42">
      <c r="A120" s="103">
        <f ca="1">IFERROR(__xludf.DUMMYFUNCTION("""COMPUTED_VALUE"""),7)</f>
        <v>7</v>
      </c>
      <c r="B120" s="103" t="str">
        <f ca="1">IFERROR(__xludf.DUMMYFUNCTION("""COMPUTED_VALUE"""),"ACC")</f>
        <v>ACC</v>
      </c>
      <c r="C120" s="103" t="str">
        <f ca="1">IFERROR(__xludf.DUMMYFUNCTION("""COMPUTED_VALUE"""),"N")</f>
        <v>N</v>
      </c>
      <c r="D120" s="103">
        <f ca="1">IFERROR(__xludf.DUMMYFUNCTION("""COMPUTED_VALUE"""),281191235)</f>
        <v>281191235</v>
      </c>
      <c r="E120" s="103" t="str">
        <f ca="1">IFERROR(__xludf.DUMMYFUNCTION("""COMPUTED_VALUE"""),"Purple Finch")</f>
        <v>Purple Finch</v>
      </c>
      <c r="F120" s="103" t="str">
        <f ca="1">IFERROR(__xludf.DUMMYFUNCTION("""COMPUTED_VALUE"""),"PUFI")</f>
        <v>PUFI</v>
      </c>
      <c r="G120" s="103">
        <f ca="1">IFERROR(__xludf.DUMMYFUNCTION("""COMPUTED_VALUE"""),2)</f>
        <v>2</v>
      </c>
      <c r="H120" s="103" t="str">
        <f ca="1">IFERROR(__xludf.DUMMYFUNCTION("""COMPUTED_VALUE"""),"S")</f>
        <v>S</v>
      </c>
      <c r="I120" s="103" t="str">
        <f ca="1">IFERROR(__xludf.DUMMYFUNCTION("""COMPUTED_VALUE"""),"P")</f>
        <v>P</v>
      </c>
      <c r="J120" s="103" t="str">
        <f ca="1">IFERROR(__xludf.DUMMYFUNCTION("""COMPUTED_VALUE"""),"FPJ")</f>
        <v>FPJ</v>
      </c>
      <c r="K120" s="103" t="str">
        <f ca="1">IFERROR(__xludf.DUMMYFUNCTION("""COMPUTED_VALUE"""),"U")</f>
        <v>U</v>
      </c>
      <c r="L120" s="103"/>
      <c r="M120" s="103"/>
      <c r="N120" s="103">
        <f ca="1">IFERROR(__xludf.DUMMYFUNCTION("""COMPUTED_VALUE"""),3)</f>
        <v>3</v>
      </c>
      <c r="O120" s="103">
        <f ca="1">IFERROR(__xludf.DUMMYFUNCTION("""COMPUTED_VALUE"""),0)</f>
        <v>0</v>
      </c>
      <c r="P120" s="103">
        <f ca="1">IFERROR(__xludf.DUMMYFUNCTION("""COMPUTED_VALUE"""),0)</f>
        <v>0</v>
      </c>
      <c r="Q120" s="103">
        <f ca="1">IFERROR(__xludf.DUMMYFUNCTION("""COMPUTED_VALUE"""),3)</f>
        <v>3</v>
      </c>
      <c r="R120" s="103">
        <f ca="1">IFERROR(__xludf.DUMMYFUNCTION("""COMPUTED_VALUE"""),1)</f>
        <v>1</v>
      </c>
      <c r="S120" s="103" t="str">
        <f ca="1">IFERROR(__xludf.DUMMYFUNCTION("""COMPUTED_VALUE"""),"N")</f>
        <v>N</v>
      </c>
      <c r="T120" s="103">
        <f ca="1">IFERROR(__xludf.DUMMYFUNCTION("""COMPUTED_VALUE"""),0)</f>
        <v>0</v>
      </c>
      <c r="U120" s="103">
        <f ca="1">IFERROR(__xludf.DUMMYFUNCTION("""COMPUTED_VALUE"""),2)</f>
        <v>2</v>
      </c>
      <c r="V120" s="103"/>
      <c r="W120" s="103"/>
      <c r="X120" s="103"/>
      <c r="Y120" s="103"/>
      <c r="Z120" s="103"/>
      <c r="AA120" s="103"/>
      <c r="AB120" s="103"/>
      <c r="AC120" s="103"/>
      <c r="AD120" s="103">
        <f ca="1">IFERROR(__xludf.DUMMYFUNCTION("""COMPUTED_VALUE"""),22)</f>
        <v>22</v>
      </c>
      <c r="AE120" s="103">
        <f ca="1">IFERROR(__xludf.DUMMYFUNCTION("""COMPUTED_VALUE"""),75)</f>
        <v>75</v>
      </c>
      <c r="AF120" s="103">
        <f ca="1">IFERROR(__xludf.DUMMYFUNCTION("""COMPUTED_VALUE"""),300)</f>
        <v>300</v>
      </c>
      <c r="AG120" s="103">
        <f ca="1">IFERROR(__xludf.DUMMYFUNCTION("""COMPUTED_VALUE"""),6)</f>
        <v>6</v>
      </c>
      <c r="AH120" s="103">
        <f ca="1">IFERROR(__xludf.DUMMYFUNCTION("""COMPUTED_VALUE"""),29)</f>
        <v>29</v>
      </c>
      <c r="AI120" s="103">
        <f ca="1">IFERROR(__xludf.DUMMYFUNCTION("""COMPUTED_VALUE"""),11)</f>
        <v>11</v>
      </c>
      <c r="AJ120" s="103" t="str">
        <f ca="1">IFERROR(__xludf.DUMMYFUNCTION("""COMPUTED_VALUE"""),"MORS")</f>
        <v>MORS</v>
      </c>
      <c r="AK120" s="103">
        <f ca="1">IFERROR(__xludf.DUMMYFUNCTION("""COMPUTED_VALUE"""),15)</f>
        <v>15</v>
      </c>
      <c r="AL120" s="103"/>
      <c r="AM120" s="103"/>
      <c r="AN120" s="103"/>
      <c r="AO120" s="57">
        <f ca="1">IFERROR(__xludf.DUMMYFUNCTION("""COMPUTED_VALUE"""),1)</f>
        <v>1</v>
      </c>
      <c r="AP120" s="103">
        <f ca="1">IFERROR(__xludf.DUMMYFUNCTION("""COMPUTED_VALUE"""),4)</f>
        <v>4</v>
      </c>
    </row>
    <row r="121" spans="1:42">
      <c r="A121" s="103">
        <f ca="1">IFERROR(__xludf.DUMMYFUNCTION("""COMPUTED_VALUE"""),8)</f>
        <v>8</v>
      </c>
      <c r="B121" s="103" t="str">
        <f ca="1">IFERROR(__xludf.DUMMYFUNCTION("""COMPUTED_VALUE"""),"ACC")</f>
        <v>ACC</v>
      </c>
      <c r="C121" s="103" t="str">
        <f ca="1">IFERROR(__xludf.DUMMYFUNCTION("""COMPUTED_VALUE"""),"R")</f>
        <v>R</v>
      </c>
      <c r="D121" s="103">
        <f ca="1">IFERROR(__xludf.DUMMYFUNCTION("""COMPUTED_VALUE"""),291032203)</f>
        <v>291032203</v>
      </c>
      <c r="E121" s="103" t="str">
        <f ca="1">IFERROR(__xludf.DUMMYFUNCTION("""COMPUTED_VALUE"""),"Black-capped Chickadee")</f>
        <v>Black-capped Chickadee</v>
      </c>
      <c r="F121" s="103" t="str">
        <f ca="1">IFERROR(__xludf.DUMMYFUNCTION("""COMPUTED_VALUE"""),"BCCH")</f>
        <v>BCCH</v>
      </c>
      <c r="G121" s="103">
        <f ca="1">IFERROR(__xludf.DUMMYFUNCTION("""COMPUTED_VALUE"""),1)</f>
        <v>1</v>
      </c>
      <c r="H121" s="103" t="str">
        <f ca="1">IFERROR(__xludf.DUMMYFUNCTION("""COMPUTED_VALUE"""),"M")</f>
        <v>M</v>
      </c>
      <c r="I121" s="103"/>
      <c r="J121" s="103" t="str">
        <f ca="1">IFERROR(__xludf.DUMMYFUNCTION("""COMPUTED_VALUE"""),"UPB")</f>
        <v>UPB</v>
      </c>
      <c r="K121" s="103" t="str">
        <f ca="1">IFERROR(__xludf.DUMMYFUNCTION("""COMPUTED_VALUE"""),"U")</f>
        <v>U</v>
      </c>
      <c r="L121" s="103"/>
      <c r="M121" s="103"/>
      <c r="N121" s="103"/>
      <c r="O121" s="103">
        <f ca="1">IFERROR(__xludf.DUMMYFUNCTION("""COMPUTED_VALUE"""),0)</f>
        <v>0</v>
      </c>
      <c r="P121" s="103">
        <f ca="1">IFERROR(__xludf.DUMMYFUNCTION("""COMPUTED_VALUE"""),0)</f>
        <v>0</v>
      </c>
      <c r="Q121" s="103">
        <f ca="1">IFERROR(__xludf.DUMMYFUNCTION("""COMPUTED_VALUE"""),1)</f>
        <v>1</v>
      </c>
      <c r="R121" s="103">
        <f ca="1">IFERROR(__xludf.DUMMYFUNCTION("""COMPUTED_VALUE"""),0)</f>
        <v>0</v>
      </c>
      <c r="S121" s="103"/>
      <c r="T121" s="103"/>
      <c r="U121" s="103"/>
      <c r="V121" s="103"/>
      <c r="W121" s="103"/>
      <c r="X121" s="103"/>
      <c r="Y121" s="103"/>
      <c r="Z121" s="103"/>
      <c r="AA121" s="103" t="str">
        <f ca="1">IFERROR(__xludf.DUMMYFUNCTION("""COMPUTED_VALUE"""),"U")</f>
        <v>U</v>
      </c>
      <c r="AB121" s="103"/>
      <c r="AC121" s="103"/>
      <c r="AD121" s="103">
        <f ca="1">IFERROR(__xludf.DUMMYFUNCTION("""COMPUTED_VALUE"""),60)</f>
        <v>60</v>
      </c>
      <c r="AE121" s="103">
        <f ca="1">IFERROR(__xludf.DUMMYFUNCTION("""COMPUTED_VALUE"""),11.1)</f>
        <v>11.1</v>
      </c>
      <c r="AF121" s="103">
        <f ca="1">IFERROR(__xludf.DUMMYFUNCTION("""COMPUTED_VALUE"""),300)</f>
        <v>300</v>
      </c>
      <c r="AG121" s="103">
        <f ca="1">IFERROR(__xludf.DUMMYFUNCTION("""COMPUTED_VALUE"""),6)</f>
        <v>6</v>
      </c>
      <c r="AH121" s="103">
        <f ca="1">IFERROR(__xludf.DUMMYFUNCTION("""COMPUTED_VALUE"""),29)</f>
        <v>29</v>
      </c>
      <c r="AI121" s="103">
        <f ca="1">IFERROR(__xludf.DUMMYFUNCTION("""COMPUTED_VALUE"""),1130)</f>
        <v>1130</v>
      </c>
      <c r="AJ121" s="103" t="str">
        <f ca="1">IFERROR(__xludf.DUMMYFUNCTION("""COMPUTED_VALUE"""),"MORS")</f>
        <v>MORS</v>
      </c>
      <c r="AK121" s="103">
        <f ca="1">IFERROR(__xludf.DUMMYFUNCTION("""COMPUTED_VALUE"""),2)</f>
        <v>2</v>
      </c>
      <c r="AL121" s="103"/>
      <c r="AM121" s="103">
        <f ca="1">IFERROR(__xludf.DUMMYFUNCTION("""COMPUTED_VALUE"""),3)</f>
        <v>3</v>
      </c>
      <c r="AN121" s="103" t="str">
        <f ca="1">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 ca="1">IFERROR(__xludf.DUMMYFUNCTION("""COMPUTED_VALUE"""),"R")</f>
        <v>R</v>
      </c>
      <c r="AP121" s="103">
        <f ca="1">IFERROR(__xludf.DUMMYFUNCTION("""COMPUTED_VALUE"""),4)</f>
        <v>4</v>
      </c>
    </row>
    <row r="122" spans="1:42">
      <c r="A122" s="103">
        <f ca="1">IFERROR(__xludf.DUMMYFUNCTION("""COMPUTED_VALUE"""),1)</f>
        <v>1</v>
      </c>
      <c r="B122" s="103" t="str">
        <f ca="1">IFERROR(__xludf.DUMMYFUNCTION("""COMPUTED_VALUE"""),"SHW")</f>
        <v>SHW</v>
      </c>
      <c r="C122" s="103" t="str">
        <f ca="1">IFERROR(__xludf.DUMMYFUNCTION("""COMPUTED_VALUE"""),"U")</f>
        <v>U</v>
      </c>
      <c r="D122" s="103"/>
      <c r="E122" s="103" t="str">
        <f ca="1">IFERROR(__xludf.DUMMYFUNCTION("""COMPUTED_VALUE"""),"Song Sparrow")</f>
        <v>Song Sparrow</v>
      </c>
      <c r="F122" s="103" t="str">
        <f ca="1">IFERROR(__xludf.DUMMYFUNCTION("""COMPUTED_VALUE"""),"SOSP")</f>
        <v>SOSP</v>
      </c>
      <c r="G122" s="103">
        <f ca="1">IFERROR(__xludf.DUMMYFUNCTION("""COMPUTED_VALUE"""),9)</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 ca="1">IFERROR(__xludf.DUMMYFUNCTION("""COMPUTED_VALUE"""),6)</f>
        <v>6</v>
      </c>
      <c r="AH122" s="103">
        <f ca="1">IFERROR(__xludf.DUMMYFUNCTION("""COMPUTED_VALUE"""),29)</f>
        <v>29</v>
      </c>
      <c r="AI122" s="103">
        <f ca="1">IFERROR(__xludf.DUMMYFUNCTION("""COMPUTED_VALUE"""),1030)</f>
        <v>1030</v>
      </c>
      <c r="AJ122" s="103" t="str">
        <f ca="1">IFERROR(__xludf.DUMMYFUNCTION("""COMPUTED_VALUE"""),"MORS")</f>
        <v>MORS</v>
      </c>
      <c r="AK122" s="103">
        <f ca="1">IFERROR(__xludf.DUMMYFUNCTION("""COMPUTED_VALUE"""),6)</f>
        <v>6</v>
      </c>
      <c r="AL122" s="103"/>
      <c r="AM122" s="103"/>
      <c r="AN122" s="103"/>
      <c r="AO122" s="57" t="str">
        <f ca="1">IFERROR(__xludf.DUMMYFUNCTION("""COMPUTED_VALUE"""),"U")</f>
        <v>U</v>
      </c>
      <c r="AP122" s="103">
        <f ca="1">IFERROR(__xludf.DUMMYFUNCTION("""COMPUTED_VALUE"""),5)</f>
        <v>5</v>
      </c>
    </row>
    <row r="123" spans="1:42">
      <c r="A123" s="103">
        <f ca="1">IFERROR(__xludf.DUMMYFUNCTION("""COMPUTED_VALUE"""),2)</f>
        <v>2</v>
      </c>
      <c r="B123" s="103" t="str">
        <f ca="1">IFERROR(__xludf.DUMMYFUNCTION("""COMPUTED_VALUE"""),"SHW")</f>
        <v>SHW</v>
      </c>
      <c r="C123" s="103" t="str">
        <f ca="1">IFERROR(__xludf.DUMMYFUNCTION("""COMPUTED_VALUE"""),"N")</f>
        <v>N</v>
      </c>
      <c r="D123" s="103">
        <f ca="1">IFERROR(__xludf.DUMMYFUNCTION("""COMPUTED_VALUE"""),288029950)</f>
        <v>288029950</v>
      </c>
      <c r="E123" s="103" t="str">
        <f ca="1">IFERROR(__xludf.DUMMYFUNCTION("""COMPUTED_VALUE"""),"Black-capped Chickadee")</f>
        <v>Black-capped Chickadee</v>
      </c>
      <c r="F123" s="103" t="str">
        <f ca="1">IFERROR(__xludf.DUMMYFUNCTION("""COMPUTED_VALUE"""),"BCCH")</f>
        <v>BCCH</v>
      </c>
      <c r="G123" s="103">
        <f ca="1">IFERROR(__xludf.DUMMYFUNCTION("""COMPUTED_VALUE"""),5)</f>
        <v>5</v>
      </c>
      <c r="H123" s="103" t="str">
        <f ca="1">IFERROR(__xludf.DUMMYFUNCTION("""COMPUTED_VALUE"""),"P")</f>
        <v>P</v>
      </c>
      <c r="I123" s="103"/>
      <c r="J123" s="103" t="str">
        <f ca="1">IFERROR(__xludf.DUMMYFUNCTION("""COMPUTED_VALUE"""),"FCF")</f>
        <v>FCF</v>
      </c>
      <c r="K123" s="103" t="str">
        <f ca="1">IFERROR(__xludf.DUMMYFUNCTION("""COMPUTED_VALUE"""),"M")</f>
        <v>M</v>
      </c>
      <c r="L123" s="103" t="str">
        <f ca="1">IFERROR(__xludf.DUMMYFUNCTION("""COMPUTED_VALUE"""),"C")</f>
        <v>C</v>
      </c>
      <c r="M123" s="103" t="str">
        <f ca="1">IFERROR(__xludf.DUMMYFUNCTION("""COMPUTED_VALUE"""),"P")</f>
        <v>P</v>
      </c>
      <c r="N123" s="103"/>
      <c r="O123" s="103"/>
      <c r="P123" s="103"/>
      <c r="Q123" s="103">
        <f ca="1">IFERROR(__xludf.DUMMYFUNCTION("""COMPUTED_VALUE"""),1)</f>
        <v>1</v>
      </c>
      <c r="R123" s="103">
        <f ca="1">IFERROR(__xludf.DUMMYFUNCTION("""COMPUTED_VALUE"""),0)</f>
        <v>0</v>
      </c>
      <c r="S123" s="103" t="str">
        <f ca="1">IFERROR(__xludf.DUMMYFUNCTION("""COMPUTED_VALUE"""),"N")</f>
        <v>N</v>
      </c>
      <c r="T123" s="103">
        <f ca="1">IFERROR(__xludf.DUMMYFUNCTION("""COMPUTED_VALUE"""),1)</f>
        <v>1</v>
      </c>
      <c r="U123" s="103">
        <f ca="1">IFERROR(__xludf.DUMMYFUNCTION("""COMPUTED_VALUE"""),0)</f>
        <v>0</v>
      </c>
      <c r="V123" s="103"/>
      <c r="W123" s="103"/>
      <c r="X123" s="103"/>
      <c r="Y123" s="103"/>
      <c r="Z123" s="103"/>
      <c r="AA123" s="103" t="str">
        <f ca="1">IFERROR(__xludf.DUMMYFUNCTION("""COMPUTED_VALUE"""),"F")</f>
        <v>F</v>
      </c>
      <c r="AB123" s="103"/>
      <c r="AC123" s="103"/>
      <c r="AD123" s="103">
        <f ca="1">IFERROR(__xludf.DUMMYFUNCTION("""COMPUTED_VALUE"""),61)</f>
        <v>61</v>
      </c>
      <c r="AE123" s="103">
        <f ca="1">IFERROR(__xludf.DUMMYFUNCTION("""COMPUTED_VALUE"""),9.4)</f>
        <v>9.4</v>
      </c>
      <c r="AF123" s="103">
        <f ca="1">IFERROR(__xludf.DUMMYFUNCTION("""COMPUTED_VALUE"""),300)</f>
        <v>300</v>
      </c>
      <c r="AG123" s="103">
        <f ca="1">IFERROR(__xludf.DUMMYFUNCTION("""COMPUTED_VALUE"""),6)</f>
        <v>6</v>
      </c>
      <c r="AH123" s="103">
        <f ca="1">IFERROR(__xludf.DUMMYFUNCTION("""COMPUTED_VALUE"""),29)</f>
        <v>29</v>
      </c>
      <c r="AI123" s="103">
        <f ca="1">IFERROR(__xludf.DUMMYFUNCTION("""COMPUTED_VALUE"""),1030)</f>
        <v>1030</v>
      </c>
      <c r="AJ123" s="103" t="str">
        <f ca="1">IFERROR(__xludf.DUMMYFUNCTION("""COMPUTED_VALUE"""),"MORS")</f>
        <v>MORS</v>
      </c>
      <c r="AK123" s="103">
        <f ca="1">IFERROR(__xludf.DUMMYFUNCTION("""COMPUTED_VALUE"""),21)</f>
        <v>21</v>
      </c>
      <c r="AL123" s="103"/>
      <c r="AM123" s="103"/>
      <c r="AN123" s="103"/>
      <c r="AO123" s="57">
        <f ca="1">IFERROR(__xludf.DUMMYFUNCTION("""COMPUTED_VALUE"""),0)</f>
        <v>0</v>
      </c>
      <c r="AP123" s="103">
        <f ca="1">IFERROR(__xludf.DUMMYFUNCTION("""COMPUTED_VALUE"""),5)</f>
        <v>5</v>
      </c>
    </row>
    <row r="124" spans="1:42">
      <c r="A124" s="103">
        <f ca="1">IFERROR(__xludf.DUMMYFUNCTION("""COMPUTED_VALUE"""),3)</f>
        <v>3</v>
      </c>
      <c r="B124" s="103" t="str">
        <f ca="1">IFERROR(__xludf.DUMMYFUNCTION("""COMPUTED_VALUE"""),"SHW")</f>
        <v>SHW</v>
      </c>
      <c r="C124" s="103" t="str">
        <f ca="1">IFERROR(__xludf.DUMMYFUNCTION("""COMPUTED_VALUE"""),"R")</f>
        <v>R</v>
      </c>
      <c r="D124" s="103">
        <f ca="1">IFERROR(__xludf.DUMMYFUNCTION("""COMPUTED_VALUE"""),262127352)</f>
        <v>262127352</v>
      </c>
      <c r="E124" s="103" t="str">
        <f ca="1">IFERROR(__xludf.DUMMYFUNCTION("""COMPUTED_VALUE"""),"Oregon Junco")</f>
        <v>Oregon Junco</v>
      </c>
      <c r="F124" s="103" t="str">
        <f ca="1">IFERROR(__xludf.DUMMYFUNCTION("""COMPUTED_VALUE"""),"ORJU")</f>
        <v>ORJU</v>
      </c>
      <c r="G124" s="103">
        <f ca="1">IFERROR(__xludf.DUMMYFUNCTION("""COMPUTED_VALUE"""),1)</f>
        <v>1</v>
      </c>
      <c r="H124" s="103" t="str">
        <f ca="1">IFERROR(__xludf.DUMMYFUNCTION("""COMPUTED_VALUE"""),"P")</f>
        <v>P</v>
      </c>
      <c r="I124" s="103"/>
      <c r="J124" s="103" t="str">
        <f ca="1">IFERROR(__xludf.DUMMYFUNCTION("""COMPUTED_VALUE"""),"UAJ")</f>
        <v>UAJ</v>
      </c>
      <c r="K124" s="103" t="str">
        <f ca="1">IFERROR(__xludf.DUMMYFUNCTION("""COMPUTED_VALUE"""),"M")</f>
        <v>M</v>
      </c>
      <c r="L124" s="103" t="str">
        <f ca="1">IFERROR(__xludf.DUMMYFUNCTION("""COMPUTED_VALUE"""),"C")</f>
        <v>C</v>
      </c>
      <c r="M124" s="103" t="str">
        <f ca="1">IFERROR(__xludf.DUMMYFUNCTION("""COMPUTED_VALUE"""),"P")</f>
        <v>P</v>
      </c>
      <c r="N124" s="103"/>
      <c r="O124" s="103">
        <f ca="1">IFERROR(__xludf.DUMMYFUNCTION("""COMPUTED_VALUE"""),3)</f>
        <v>3</v>
      </c>
      <c r="P124" s="103"/>
      <c r="Q124" s="103">
        <f ca="1">IFERROR(__xludf.DUMMYFUNCTION("""COMPUTED_VALUE"""),1)</f>
        <v>1</v>
      </c>
      <c r="R124" s="103">
        <f ca="1">IFERROR(__xludf.DUMMYFUNCTION("""COMPUTED_VALUE"""),0)</f>
        <v>0</v>
      </c>
      <c r="S124" s="103" t="str">
        <f ca="1">IFERROR(__xludf.DUMMYFUNCTION("""COMPUTED_VALUE"""),"N")</f>
        <v>N</v>
      </c>
      <c r="T124" s="103">
        <f ca="1">IFERROR(__xludf.DUMMYFUNCTION("""COMPUTED_VALUE"""),2)</f>
        <v>2</v>
      </c>
      <c r="U124" s="103">
        <f ca="1">IFERROR(__xludf.DUMMYFUNCTION("""COMPUTED_VALUE"""),0)</f>
        <v>0</v>
      </c>
      <c r="V124" s="103"/>
      <c r="W124" s="103"/>
      <c r="X124" s="103"/>
      <c r="Y124" s="103"/>
      <c r="Z124" s="103"/>
      <c r="AA124" s="103"/>
      <c r="AB124" s="103"/>
      <c r="AC124" s="103"/>
      <c r="AD124" s="103">
        <f ca="1">IFERROR(__xludf.DUMMYFUNCTION("""COMPUTED_VALUE"""),84)</f>
        <v>84</v>
      </c>
      <c r="AE124" s="103">
        <f ca="1">IFERROR(__xludf.DUMMYFUNCTION("""COMPUTED_VALUE"""),17.4)</f>
        <v>17.399999999999999</v>
      </c>
      <c r="AF124" s="103">
        <f ca="1">IFERROR(__xludf.DUMMYFUNCTION("""COMPUTED_VALUE"""),300)</f>
        <v>300</v>
      </c>
      <c r="AG124" s="103">
        <f ca="1">IFERROR(__xludf.DUMMYFUNCTION("""COMPUTED_VALUE"""),6)</f>
        <v>6</v>
      </c>
      <c r="AH124" s="103">
        <f ca="1">IFERROR(__xludf.DUMMYFUNCTION("""COMPUTED_VALUE"""),29)</f>
        <v>29</v>
      </c>
      <c r="AI124" s="103">
        <f ca="1">IFERROR(__xludf.DUMMYFUNCTION("""COMPUTED_VALUE"""),1030)</f>
        <v>1030</v>
      </c>
      <c r="AJ124" s="103" t="str">
        <f ca="1">IFERROR(__xludf.DUMMYFUNCTION("""COMPUTED_VALUE"""),"MORS")</f>
        <v>MORS</v>
      </c>
      <c r="AK124" s="103">
        <f ca="1">IFERROR(__xludf.DUMMYFUNCTION("""COMPUTED_VALUE"""),14)</f>
        <v>14</v>
      </c>
      <c r="AL124" s="103"/>
      <c r="AM124" s="103"/>
      <c r="AN124" s="103"/>
      <c r="AO124" s="57" t="str">
        <f ca="1">IFERROR(__xludf.DUMMYFUNCTION("""COMPUTED_VALUE"""),"R")</f>
        <v>R</v>
      </c>
      <c r="AP124" s="103">
        <f ca="1">IFERROR(__xludf.DUMMYFUNCTION("""COMPUTED_VALUE"""),5)</f>
        <v>5</v>
      </c>
    </row>
    <row r="125" spans="1:42">
      <c r="A125" s="103">
        <f ca="1">IFERROR(__xludf.DUMMYFUNCTION("""COMPUTED_VALUE"""),1)</f>
        <v>1</v>
      </c>
      <c r="B125" s="103" t="str">
        <f ca="1">IFERROR(__xludf.DUMMYFUNCTION("""COMPUTED_VALUE"""),"NDS")</f>
        <v>NDS</v>
      </c>
      <c r="C125" s="103" t="str">
        <f ca="1">IFERROR(__xludf.DUMMYFUNCTION("""COMPUTED_VALUE"""),"R")</f>
        <v>R</v>
      </c>
      <c r="D125" s="103">
        <f ca="1">IFERROR(__xludf.DUMMYFUNCTION("""COMPUTED_VALUE"""),287076669)</f>
        <v>287076669</v>
      </c>
      <c r="E125" s="103" t="str">
        <f ca="1">IFERROR(__xludf.DUMMYFUNCTION("""COMPUTED_VALUE"""),"Hutton's Vireo")</f>
        <v>Hutton's Vireo</v>
      </c>
      <c r="F125" s="103" t="str">
        <f ca="1">IFERROR(__xludf.DUMMYFUNCTION("""COMPUTED_VALUE"""),"HUVI")</f>
        <v>HUVI</v>
      </c>
      <c r="G125" s="103">
        <f ca="1">IFERROR(__xludf.DUMMYFUNCTION("""COMPUTED_VALUE"""),1)</f>
        <v>1</v>
      </c>
      <c r="H125" s="103" t="str">
        <f ca="1">IFERROR(__xludf.DUMMYFUNCTION("""COMPUTED_VALUE"""),"B")</f>
        <v>B</v>
      </c>
      <c r="I125" s="103" t="str">
        <f ca="1">IFERROR(__xludf.DUMMYFUNCTION("""COMPUTED_VALUE"""),"P")</f>
        <v>P</v>
      </c>
      <c r="J125" s="103" t="str">
        <f ca="1">IFERROR(__xludf.DUMMYFUNCTION("""COMPUTED_VALUE"""),"UAJ")</f>
        <v>UAJ</v>
      </c>
      <c r="K125" s="103" t="str">
        <f ca="1">IFERROR(__xludf.DUMMYFUNCTION("""COMPUTED_VALUE"""),"U")</f>
        <v>U</v>
      </c>
      <c r="L125" s="103"/>
      <c r="M125" s="103"/>
      <c r="N125" s="103"/>
      <c r="O125" s="103">
        <f ca="1">IFERROR(__xludf.DUMMYFUNCTION("""COMPUTED_VALUE"""),0)</f>
        <v>0</v>
      </c>
      <c r="P125" s="103">
        <f ca="1">IFERROR(__xludf.DUMMYFUNCTION("""COMPUTED_VALUE"""),3)</f>
        <v>3</v>
      </c>
      <c r="Q125" s="103">
        <f ca="1">IFERROR(__xludf.DUMMYFUNCTION("""COMPUTED_VALUE"""),3)</f>
        <v>3</v>
      </c>
      <c r="R125" s="103">
        <f ca="1">IFERROR(__xludf.DUMMYFUNCTION("""COMPUTED_VALUE"""),0)</f>
        <v>0</v>
      </c>
      <c r="S125" s="103" t="str">
        <f ca="1">IFERROR(__xludf.DUMMYFUNCTION("""COMPUTED_VALUE"""),"N")</f>
        <v>N</v>
      </c>
      <c r="T125" s="103">
        <f ca="1">IFERROR(__xludf.DUMMYFUNCTION("""COMPUTED_VALUE"""),2)</f>
        <v>2</v>
      </c>
      <c r="U125" s="103"/>
      <c r="V125" s="103"/>
      <c r="W125" s="103" t="str">
        <f ca="1">IFERROR(__xludf.DUMMYFUNCTION("""COMPUTED_VALUE"""),"B")</f>
        <v>B</v>
      </c>
      <c r="X125" s="103"/>
      <c r="Y125" s="103"/>
      <c r="Z125" s="103"/>
      <c r="AA125" s="103"/>
      <c r="AB125" s="103"/>
      <c r="AC125" s="103"/>
      <c r="AD125" s="103">
        <f ca="1">IFERROR(__xludf.DUMMYFUNCTION("""COMPUTED_VALUE"""),61)</f>
        <v>61</v>
      </c>
      <c r="AE125" s="103">
        <f ca="1">IFERROR(__xludf.DUMMYFUNCTION("""COMPUTED_VALUE"""),11.9)</f>
        <v>11.9</v>
      </c>
      <c r="AF125" s="103">
        <f ca="1">IFERROR(__xludf.DUMMYFUNCTION("""COMPUTED_VALUE"""),300)</f>
        <v>300</v>
      </c>
      <c r="AG125" s="103">
        <f ca="1">IFERROR(__xludf.DUMMYFUNCTION("""COMPUTED_VALUE"""),7)</f>
        <v>7</v>
      </c>
      <c r="AH125" s="103">
        <f ca="1">IFERROR(__xludf.DUMMYFUNCTION("""COMPUTED_VALUE"""),3)</f>
        <v>3</v>
      </c>
      <c r="AI125" s="103">
        <f ca="1">IFERROR(__xludf.DUMMYFUNCTION("""COMPUTED_VALUE"""),6)</f>
        <v>6</v>
      </c>
      <c r="AJ125" s="103" t="str">
        <f ca="1">IFERROR(__xludf.DUMMYFUNCTION("""COMPUTED_VALUE"""),"MORS")</f>
        <v>MORS</v>
      </c>
      <c r="AK125" s="103">
        <f ca="1">IFERROR(__xludf.DUMMYFUNCTION("""COMPUTED_VALUE"""),7)</f>
        <v>7</v>
      </c>
      <c r="AL125" s="103"/>
      <c r="AM125" s="103">
        <f ca="1">IFERROR(__xludf.DUMMYFUNCTION("""COMPUTED_VALUE"""),1)</f>
        <v>1</v>
      </c>
      <c r="AN125" s="103" t="str">
        <f ca="1">IFERROR(__xludf.DUMMYFUNCTION("""COMPUTED_VALUE"""),"Very extensive brood patch. likely female. P10 very pointed.")</f>
        <v>Very extensive brood patch. likely female. P10 very pointed.</v>
      </c>
      <c r="AO125" s="57" t="str">
        <f ca="1">IFERROR(__xludf.DUMMYFUNCTION("""COMPUTED_VALUE"""),"R")</f>
        <v>R</v>
      </c>
      <c r="AP125" s="103">
        <f ca="1">IFERROR(__xludf.DUMMYFUNCTION("""COMPUTED_VALUE"""),1)</f>
        <v>1</v>
      </c>
    </row>
    <row r="126" spans="1:42">
      <c r="A126" s="103">
        <f ca="1">IFERROR(__xludf.DUMMYFUNCTION("""COMPUTED_VALUE"""),2)</f>
        <v>2</v>
      </c>
      <c r="B126" s="103" t="str">
        <f ca="1">IFERROR(__xludf.DUMMYFUNCTION("""COMPUTED_VALUE"""),"NDS")</f>
        <v>NDS</v>
      </c>
      <c r="C126" s="103" t="str">
        <f ca="1">IFERROR(__xludf.DUMMYFUNCTION("""COMPUTED_VALUE"""),"N")</f>
        <v>N</v>
      </c>
      <c r="D126" s="103">
        <f ca="1">IFERROR(__xludf.DUMMYFUNCTION("""COMPUTED_VALUE"""),288029955)</f>
        <v>288029955</v>
      </c>
      <c r="E126" s="103" t="str">
        <f ca="1">IFERROR(__xludf.DUMMYFUNCTION("""COMPUTED_VALUE"""),"Common Yellowthroat")</f>
        <v>Common Yellowthroat</v>
      </c>
      <c r="F126" s="103" t="str">
        <f ca="1">IFERROR(__xludf.DUMMYFUNCTION("""COMPUTED_VALUE"""),"COYE")</f>
        <v>COYE</v>
      </c>
      <c r="G126" s="103">
        <f ca="1">IFERROR(__xludf.DUMMYFUNCTION("""COMPUTED_VALUE"""),6)</f>
        <v>6</v>
      </c>
      <c r="H126" s="103" t="str">
        <f ca="1">IFERROR(__xludf.DUMMYFUNCTION("""COMPUTED_VALUE"""),"P")</f>
        <v>P</v>
      </c>
      <c r="I126" s="103"/>
      <c r="J126" s="103" t="str">
        <f ca="1">IFERROR(__xludf.DUMMYFUNCTION("""COMPUTED_VALUE"""),"DCB")</f>
        <v>DCB</v>
      </c>
      <c r="K126" s="103" t="str">
        <f ca="1">IFERROR(__xludf.DUMMYFUNCTION("""COMPUTED_VALUE"""),"M")</f>
        <v>M</v>
      </c>
      <c r="L126" s="103" t="str">
        <f ca="1">IFERROR(__xludf.DUMMYFUNCTION("""COMPUTED_VALUE"""),"P")</f>
        <v>P</v>
      </c>
      <c r="M126" s="103"/>
      <c r="N126" s="103"/>
      <c r="O126" s="103">
        <f ca="1">IFERROR(__xludf.DUMMYFUNCTION("""COMPUTED_VALUE"""),2)</f>
        <v>2</v>
      </c>
      <c r="P126" s="103">
        <f ca="1">IFERROR(__xludf.DUMMYFUNCTION("""COMPUTED_VALUE"""),0)</f>
        <v>0</v>
      </c>
      <c r="Q126" s="103">
        <f ca="1">IFERROR(__xludf.DUMMYFUNCTION("""COMPUTED_VALUE"""),1)</f>
        <v>1</v>
      </c>
      <c r="R126" s="103">
        <f ca="1">IFERROR(__xludf.DUMMYFUNCTION("""COMPUTED_VALUE"""),0)</f>
        <v>0</v>
      </c>
      <c r="S126" s="103" t="str">
        <f ca="1">IFERROR(__xludf.DUMMYFUNCTION("""COMPUTED_VALUE"""),"N")</f>
        <v>N</v>
      </c>
      <c r="T126" s="103">
        <f ca="1">IFERROR(__xludf.DUMMYFUNCTION("""COMPUTED_VALUE"""),2)</f>
        <v>2</v>
      </c>
      <c r="U126" s="103"/>
      <c r="V126" s="103" t="str">
        <f ca="1">IFERROR(__xludf.DUMMYFUNCTION("""COMPUTED_VALUE"""),"B")</f>
        <v>B</v>
      </c>
      <c r="W126" s="103" t="str">
        <f ca="1">IFERROR(__xludf.DUMMYFUNCTION("""COMPUTED_VALUE"""),"B")</f>
        <v>B</v>
      </c>
      <c r="X126" s="103"/>
      <c r="Y126" s="103"/>
      <c r="Z126" s="103"/>
      <c r="AA126" s="103" t="str">
        <f ca="1">IFERROR(__xludf.DUMMYFUNCTION("""COMPUTED_VALUE"""),"U")</f>
        <v>U</v>
      </c>
      <c r="AB126" s="103"/>
      <c r="AC126" s="103"/>
      <c r="AD126" s="103">
        <f ca="1">IFERROR(__xludf.DUMMYFUNCTION("""COMPUTED_VALUE"""),53)</f>
        <v>53</v>
      </c>
      <c r="AE126" s="103">
        <f ca="1">IFERROR(__xludf.DUMMYFUNCTION("""COMPUTED_VALUE"""),9.8)</f>
        <v>9.8000000000000007</v>
      </c>
      <c r="AF126" s="103">
        <f ca="1">IFERROR(__xludf.DUMMYFUNCTION("""COMPUTED_VALUE"""),300)</f>
        <v>300</v>
      </c>
      <c r="AG126" s="103">
        <f ca="1">IFERROR(__xludf.DUMMYFUNCTION("""COMPUTED_VALUE"""),7)</f>
        <v>7</v>
      </c>
      <c r="AH126" s="103">
        <f ca="1">IFERROR(__xludf.DUMMYFUNCTION("""COMPUTED_VALUE"""),3)</f>
        <v>3</v>
      </c>
      <c r="AI126" s="103">
        <f ca="1">IFERROR(__xludf.DUMMYFUNCTION("""COMPUTED_VALUE"""),6)</f>
        <v>6</v>
      </c>
      <c r="AJ126" s="103" t="str">
        <f ca="1">IFERROR(__xludf.DUMMYFUNCTION("""COMPUTED_VALUE"""),"MORS")</f>
        <v>MORS</v>
      </c>
      <c r="AK126" s="103">
        <f ca="1">IFERROR(__xludf.DUMMYFUNCTION("""COMPUTED_VALUE"""),21)</f>
        <v>21</v>
      </c>
      <c r="AL126" s="103"/>
      <c r="AM126" s="103"/>
      <c r="AN126" s="103"/>
      <c r="AO126" s="57">
        <f ca="1">IFERROR(__xludf.DUMMYFUNCTION("""COMPUTED_VALUE"""),0)</f>
        <v>0</v>
      </c>
      <c r="AP126" s="103">
        <f ca="1">IFERROR(__xludf.DUMMYFUNCTION("""COMPUTED_VALUE"""),1)</f>
        <v>1</v>
      </c>
    </row>
    <row r="127" spans="1:42">
      <c r="A127" s="103">
        <f ca="1">IFERROR(__xludf.DUMMYFUNCTION("""COMPUTED_VALUE"""),3)</f>
        <v>3</v>
      </c>
      <c r="B127" s="103" t="str">
        <f ca="1">IFERROR(__xludf.DUMMYFUNCTION("""COMPUTED_VALUE"""),"NDS")</f>
        <v>NDS</v>
      </c>
      <c r="C127" s="103" t="str">
        <f ca="1">IFERROR(__xludf.DUMMYFUNCTION("""COMPUTED_VALUE"""),"N")</f>
        <v>N</v>
      </c>
      <c r="D127" s="103">
        <f ca="1">IFERROR(__xludf.DUMMYFUNCTION("""COMPUTED_VALUE"""),288029956)</f>
        <v>288029956</v>
      </c>
      <c r="E127" s="103" t="str">
        <f ca="1">IFERROR(__xludf.DUMMYFUNCTION("""COMPUTED_VALUE"""),"Common Yellowthroat")</f>
        <v>Common Yellowthroat</v>
      </c>
      <c r="F127" s="103" t="str">
        <f ca="1">IFERROR(__xludf.DUMMYFUNCTION("""COMPUTED_VALUE"""),"COYE")</f>
        <v>COYE</v>
      </c>
      <c r="G127" s="103">
        <f ca="1">IFERROR(__xludf.DUMMYFUNCTION("""COMPUTED_VALUE"""),2)</f>
        <v>2</v>
      </c>
      <c r="H127" s="103" t="str">
        <f ca="1">IFERROR(__xludf.DUMMYFUNCTION("""COMPUTED_VALUE"""),"J")</f>
        <v>J</v>
      </c>
      <c r="I127" s="103"/>
      <c r="J127" s="103" t="str">
        <f ca="1">IFERROR(__xludf.DUMMYFUNCTION("""COMPUTED_VALUE"""),"FCJ")</f>
        <v>FCJ</v>
      </c>
      <c r="K127" s="103" t="str">
        <f ca="1">IFERROR(__xludf.DUMMYFUNCTION("""COMPUTED_VALUE"""),"U")</f>
        <v>U</v>
      </c>
      <c r="L127" s="103"/>
      <c r="M127" s="103"/>
      <c r="N127" s="103">
        <f ca="1">IFERROR(__xludf.DUMMYFUNCTION("""COMPUTED_VALUE"""),1)</f>
        <v>1</v>
      </c>
      <c r="O127" s="103">
        <f ca="1">IFERROR(__xludf.DUMMYFUNCTION("""COMPUTED_VALUE"""),0)</f>
        <v>0</v>
      </c>
      <c r="P127" s="103">
        <f ca="1">IFERROR(__xludf.DUMMYFUNCTION("""COMPUTED_VALUE"""),0)</f>
        <v>0</v>
      </c>
      <c r="Q127" s="103">
        <f ca="1">IFERROR(__xludf.DUMMYFUNCTION("""COMPUTED_VALUE"""),2)</f>
        <v>2</v>
      </c>
      <c r="R127" s="103">
        <f ca="1">IFERROR(__xludf.DUMMYFUNCTION("""COMPUTED_VALUE"""),2)</f>
        <v>2</v>
      </c>
      <c r="S127" s="103" t="str">
        <f ca="1">IFERROR(__xludf.DUMMYFUNCTION("""COMPUTED_VALUE"""),"N")</f>
        <v>N</v>
      </c>
      <c r="T127" s="103">
        <f ca="1">IFERROR(__xludf.DUMMYFUNCTION("""COMPUTED_VALUE"""),1)</f>
        <v>1</v>
      </c>
      <c r="U127" s="103">
        <f ca="1">IFERROR(__xludf.DUMMYFUNCTION("""COMPUTED_VALUE"""),3)</f>
        <v>3</v>
      </c>
      <c r="V127" s="103" t="str">
        <f ca="1">IFERROR(__xludf.DUMMYFUNCTION("""COMPUTED_VALUE"""),"J")</f>
        <v>J</v>
      </c>
      <c r="W127" s="103"/>
      <c r="X127" s="103"/>
      <c r="Y127" s="103"/>
      <c r="Z127" s="103"/>
      <c r="AA127" s="103"/>
      <c r="AB127" s="103"/>
      <c r="AC127" s="103"/>
      <c r="AD127" s="103">
        <f ca="1">IFERROR(__xludf.DUMMYFUNCTION("""COMPUTED_VALUE"""),52)</f>
        <v>52</v>
      </c>
      <c r="AE127" s="103">
        <f ca="1">IFERROR(__xludf.DUMMYFUNCTION("""COMPUTED_VALUE"""),8.3)</f>
        <v>8.3000000000000007</v>
      </c>
      <c r="AF127" s="103">
        <f ca="1">IFERROR(__xludf.DUMMYFUNCTION("""COMPUTED_VALUE"""),300)</f>
        <v>300</v>
      </c>
      <c r="AG127" s="103">
        <f ca="1">IFERROR(__xludf.DUMMYFUNCTION("""COMPUTED_VALUE"""),7)</f>
        <v>7</v>
      </c>
      <c r="AH127" s="103">
        <f ca="1">IFERROR(__xludf.DUMMYFUNCTION("""COMPUTED_VALUE"""),3)</f>
        <v>3</v>
      </c>
      <c r="AI127" s="103">
        <f ca="1">IFERROR(__xludf.DUMMYFUNCTION("""COMPUTED_VALUE"""),630)</f>
        <v>630</v>
      </c>
      <c r="AJ127" s="103" t="str">
        <f ca="1">IFERROR(__xludf.DUMMYFUNCTION("""COMPUTED_VALUE"""),"MORS")</f>
        <v>MORS</v>
      </c>
      <c r="AK127" s="103">
        <f ca="1">IFERROR(__xludf.DUMMYFUNCTION("""COMPUTED_VALUE"""),21)</f>
        <v>21</v>
      </c>
      <c r="AL127" s="103"/>
      <c r="AM127" s="103"/>
      <c r="AN127" s="103"/>
      <c r="AO127" s="57">
        <f ca="1">IFERROR(__xludf.DUMMYFUNCTION("""COMPUTED_VALUE"""),0)</f>
        <v>0</v>
      </c>
      <c r="AP127" s="103">
        <f ca="1">IFERROR(__xludf.DUMMYFUNCTION("""COMPUTED_VALUE"""),1)</f>
        <v>1</v>
      </c>
    </row>
    <row r="128" spans="1:42">
      <c r="A128" s="105">
        <f ca="1">IFERROR(__xludf.DUMMYFUNCTION("""COMPUTED_VALUE"""),4)</f>
        <v>4</v>
      </c>
      <c r="B128" s="103" t="str">
        <f ca="1">IFERROR(__xludf.DUMMYFUNCTION("""COMPUTED_VALUE"""),"NDS")</f>
        <v>NDS</v>
      </c>
      <c r="C128" s="103" t="str">
        <f ca="1">IFERROR(__xludf.DUMMYFUNCTION("""COMPUTED_VALUE"""),"N")</f>
        <v>N</v>
      </c>
      <c r="D128" s="103">
        <f ca="1">IFERROR(__xludf.DUMMYFUNCTION("""COMPUTED_VALUE"""),288029957)</f>
        <v>288029957</v>
      </c>
      <c r="E128" s="103" t="str">
        <f ca="1">IFERROR(__xludf.DUMMYFUNCTION("""COMPUTED_VALUE"""),"Common Yellowthroat")</f>
        <v>Common Yellowthroat</v>
      </c>
      <c r="F128" s="103" t="str">
        <f ca="1">IFERROR(__xludf.DUMMYFUNCTION("""COMPUTED_VALUE"""),"COYE")</f>
        <v>COYE</v>
      </c>
      <c r="G128" s="103">
        <f ca="1">IFERROR(__xludf.DUMMYFUNCTION("""COMPUTED_VALUE"""),5)</f>
        <v>5</v>
      </c>
      <c r="H128" s="103" t="str">
        <f ca="1">IFERROR(__xludf.DUMMYFUNCTION("""COMPUTED_VALUE"""),"P")</f>
        <v>P</v>
      </c>
      <c r="I128" s="103" t="str">
        <f ca="1">IFERROR(__xludf.DUMMYFUNCTION("""COMPUTED_VALUE"""),"F")</f>
        <v>F</v>
      </c>
      <c r="J128" s="103" t="str">
        <f ca="1">IFERROR(__xludf.DUMMYFUNCTION("""COMPUTED_VALUE"""),"FCJ")</f>
        <v>FCJ</v>
      </c>
      <c r="K128" s="103" t="str">
        <f ca="1">IFERROR(__xludf.DUMMYFUNCTION("""COMPUTED_VALUE"""),"F")</f>
        <v>F</v>
      </c>
      <c r="L128" s="103" t="str">
        <f ca="1">IFERROR(__xludf.DUMMYFUNCTION("""COMPUTED_VALUE"""),"P")</f>
        <v>P</v>
      </c>
      <c r="M128" s="103"/>
      <c r="N128" s="103"/>
      <c r="O128" s="103">
        <f ca="1">IFERROR(__xludf.DUMMYFUNCTION("""COMPUTED_VALUE"""),0)</f>
        <v>0</v>
      </c>
      <c r="P128" s="103">
        <f ca="1">IFERROR(__xludf.DUMMYFUNCTION("""COMPUTED_VALUE"""),3)</f>
        <v>3</v>
      </c>
      <c r="Q128" s="103">
        <f ca="1">IFERROR(__xludf.DUMMYFUNCTION("""COMPUTED_VALUE"""),2)</f>
        <v>2</v>
      </c>
      <c r="R128" s="103">
        <f ca="1">IFERROR(__xludf.DUMMYFUNCTION("""COMPUTED_VALUE"""),0)</f>
        <v>0</v>
      </c>
      <c r="S128" s="103" t="str">
        <f ca="1">IFERROR(__xludf.DUMMYFUNCTION("""COMPUTED_VALUE"""),"N")</f>
        <v>N</v>
      </c>
      <c r="T128" s="103">
        <f ca="1">IFERROR(__xludf.DUMMYFUNCTION("""COMPUTED_VALUE"""),3)</f>
        <v>3</v>
      </c>
      <c r="U128" s="103"/>
      <c r="V128" s="103" t="str">
        <f ca="1">IFERROR(__xludf.DUMMYFUNCTION("""COMPUTED_VALUE"""),"J")</f>
        <v>J</v>
      </c>
      <c r="W128" s="103" t="str">
        <f ca="1">IFERROR(__xludf.DUMMYFUNCTION("""COMPUTED_VALUE"""),"J")</f>
        <v>J</v>
      </c>
      <c r="X128" s="103"/>
      <c r="Y128" s="103"/>
      <c r="Z128" s="103"/>
      <c r="AA128" s="103" t="str">
        <f ca="1">IFERROR(__xludf.DUMMYFUNCTION("""COMPUTED_VALUE"""),"U")</f>
        <v>U</v>
      </c>
      <c r="AB128" s="103"/>
      <c r="AC128" s="103"/>
      <c r="AD128" s="103">
        <f ca="1">IFERROR(__xludf.DUMMYFUNCTION("""COMPUTED_VALUE"""),50)</f>
        <v>50</v>
      </c>
      <c r="AE128" s="103">
        <f ca="1">IFERROR(__xludf.DUMMYFUNCTION("""COMPUTED_VALUE"""),9.6)</f>
        <v>9.6</v>
      </c>
      <c r="AF128" s="103">
        <f ca="1">IFERROR(__xludf.DUMMYFUNCTION("""COMPUTED_VALUE"""),300)</f>
        <v>300</v>
      </c>
      <c r="AG128" s="103">
        <f ca="1">IFERROR(__xludf.DUMMYFUNCTION("""COMPUTED_VALUE"""),7)</f>
        <v>7</v>
      </c>
      <c r="AH128" s="103">
        <f ca="1">IFERROR(__xludf.DUMMYFUNCTION("""COMPUTED_VALUE"""),3)</f>
        <v>3</v>
      </c>
      <c r="AI128" s="103">
        <f ca="1">IFERROR(__xludf.DUMMYFUNCTION("""COMPUTED_VALUE"""),710)</f>
        <v>710</v>
      </c>
      <c r="AJ128" s="103" t="str">
        <f ca="1">IFERROR(__xludf.DUMMYFUNCTION("""COMPUTED_VALUE"""),"MORS")</f>
        <v>MORS</v>
      </c>
      <c r="AK128" s="103">
        <f ca="1">IFERROR(__xludf.DUMMYFUNCTION("""COMPUTED_VALUE"""),21)</f>
        <v>21</v>
      </c>
      <c r="AL128" s="103"/>
      <c r="AM128" s="103"/>
      <c r="AN128" s="103"/>
      <c r="AO128" s="57">
        <f ca="1">IFERROR(__xludf.DUMMYFUNCTION("""COMPUTED_VALUE"""),0)</f>
        <v>0</v>
      </c>
      <c r="AP128" s="103">
        <f ca="1">IFERROR(__xludf.DUMMYFUNCTION("""COMPUTED_VALUE"""),1)</f>
        <v>1</v>
      </c>
    </row>
    <row r="129" spans="1:42">
      <c r="A129" s="103">
        <f ca="1">IFERROR(__xludf.DUMMYFUNCTION("""COMPUTED_VALUE"""),5)</f>
        <v>5</v>
      </c>
      <c r="B129" s="103" t="str">
        <f ca="1">IFERROR(__xludf.DUMMYFUNCTION("""COMPUTED_VALUE"""),"NDS")</f>
        <v>NDS</v>
      </c>
      <c r="C129" s="103" t="str">
        <f ca="1">IFERROR(__xludf.DUMMYFUNCTION("""COMPUTED_VALUE"""),"N")</f>
        <v>N</v>
      </c>
      <c r="D129" s="103">
        <f ca="1">IFERROR(__xludf.DUMMYFUNCTION("""COMPUTED_VALUE"""),288029960)</f>
        <v>288029960</v>
      </c>
      <c r="E129" s="103" t="str">
        <f ca="1">IFERROR(__xludf.DUMMYFUNCTION("""COMPUTED_VALUE"""),"Chestnut-backed Chickadee")</f>
        <v>Chestnut-backed Chickadee</v>
      </c>
      <c r="F129" s="103" t="str">
        <f ca="1">IFERROR(__xludf.DUMMYFUNCTION("""COMPUTED_VALUE"""),"CBCH")</f>
        <v>CBCH</v>
      </c>
      <c r="G129" s="103">
        <f ca="1">IFERROR(__xludf.DUMMYFUNCTION("""COMPUTED_VALUE"""),1)</f>
        <v>1</v>
      </c>
      <c r="H129" s="103" t="str">
        <f ca="1">IFERROR(__xludf.DUMMYFUNCTION("""COMPUTED_VALUE"""),"M")</f>
        <v>M</v>
      </c>
      <c r="I129" s="103"/>
      <c r="J129" s="103" t="str">
        <f ca="1">IFERROR(__xludf.DUMMYFUNCTION("""COMPUTED_VALUE"""),"UPB")</f>
        <v>UPB</v>
      </c>
      <c r="K129" s="103" t="str">
        <f ca="1">IFERROR(__xludf.DUMMYFUNCTION("""COMPUTED_VALUE"""),"U")</f>
        <v>U</v>
      </c>
      <c r="L129" s="103"/>
      <c r="M129" s="103"/>
      <c r="N129" s="103"/>
      <c r="O129" s="103">
        <f ca="1">IFERROR(__xludf.DUMMYFUNCTION("""COMPUTED_VALUE"""),0)</f>
        <v>0</v>
      </c>
      <c r="P129" s="103">
        <f ca="1">IFERROR(__xludf.DUMMYFUNCTION("""COMPUTED_VALUE"""),0)</f>
        <v>0</v>
      </c>
      <c r="Q129" s="103">
        <f ca="1">IFERROR(__xludf.DUMMYFUNCTION("""COMPUTED_VALUE"""),1)</f>
        <v>1</v>
      </c>
      <c r="R129" s="103">
        <f ca="1">IFERROR(__xludf.DUMMYFUNCTION("""COMPUTED_VALUE"""),1)</f>
        <v>1</v>
      </c>
      <c r="S129" s="103" t="str">
        <f ca="1">IFERROR(__xludf.DUMMYFUNCTION("""COMPUTED_VALUE"""),"S")</f>
        <v>S</v>
      </c>
      <c r="T129" s="103">
        <f ca="1">IFERROR(__xludf.DUMMYFUNCTION("""COMPUTED_VALUE"""),2)</f>
        <v>2</v>
      </c>
      <c r="U129" s="103"/>
      <c r="V129" s="103"/>
      <c r="W129" s="103"/>
      <c r="X129" s="103"/>
      <c r="Y129" s="103"/>
      <c r="Z129" s="103"/>
      <c r="AA129" s="103"/>
      <c r="AB129" s="103"/>
      <c r="AC129" s="103"/>
      <c r="AD129" s="103">
        <f ca="1">IFERROR(__xludf.DUMMYFUNCTION("""COMPUTED_VALUE"""),56)</f>
        <v>56</v>
      </c>
      <c r="AE129" s="103">
        <f ca="1">IFERROR(__xludf.DUMMYFUNCTION("""COMPUTED_VALUE"""),9.7)</f>
        <v>9.6999999999999993</v>
      </c>
      <c r="AF129" s="103">
        <f ca="1">IFERROR(__xludf.DUMMYFUNCTION("""COMPUTED_VALUE"""),300)</f>
        <v>300</v>
      </c>
      <c r="AG129" s="103">
        <f ca="1">IFERROR(__xludf.DUMMYFUNCTION("""COMPUTED_VALUE"""),7)</f>
        <v>7</v>
      </c>
      <c r="AH129" s="103">
        <f ca="1">IFERROR(__xludf.DUMMYFUNCTION("""COMPUTED_VALUE"""),3)</f>
        <v>3</v>
      </c>
      <c r="AI129" s="103">
        <f ca="1">IFERROR(__xludf.DUMMYFUNCTION("""COMPUTED_VALUE"""),740)</f>
        <v>740</v>
      </c>
      <c r="AJ129" s="103" t="str">
        <f ca="1">IFERROR(__xludf.DUMMYFUNCTION("""COMPUTED_VALUE"""),"MORS")</f>
        <v>MORS</v>
      </c>
      <c r="AK129" s="103">
        <f ca="1">IFERROR(__xludf.DUMMYFUNCTION("""COMPUTED_VALUE"""),9)</f>
        <v>9</v>
      </c>
      <c r="AL129" s="103"/>
      <c r="AM129" s="103">
        <f ca="1">IFERROR(__xludf.DUMMYFUNCTION("""COMPUTED_VALUE"""),2)</f>
        <v>2</v>
      </c>
      <c r="AN129" s="103" t="str">
        <f ca="1">IFERROR(__xludf.DUMMYFUNCTION("""COMPUTED_VALUE"""),"P5-10 retained, others in molt.")</f>
        <v>P5-10 retained, others in molt.</v>
      </c>
      <c r="AO129" s="57">
        <f ca="1">IFERROR(__xludf.DUMMYFUNCTION("""COMPUTED_VALUE"""),0)</f>
        <v>0</v>
      </c>
      <c r="AP129" s="103">
        <f ca="1">IFERROR(__xludf.DUMMYFUNCTION("""COMPUTED_VALUE"""),1)</f>
        <v>1</v>
      </c>
    </row>
    <row r="130" spans="1:42">
      <c r="A130" s="103">
        <f ca="1">IFERROR(__xludf.DUMMYFUNCTION("""COMPUTED_VALUE"""),6)</f>
        <v>6</v>
      </c>
      <c r="B130" s="103" t="str">
        <f ca="1">IFERROR(__xludf.DUMMYFUNCTION("""COMPUTED_VALUE"""),"NDS")</f>
        <v>NDS</v>
      </c>
      <c r="C130" s="103" t="str">
        <f ca="1">IFERROR(__xludf.DUMMYFUNCTION("""COMPUTED_VALUE"""),"N")</f>
        <v>N</v>
      </c>
      <c r="D130" s="103">
        <f ca="1">IFERROR(__xludf.DUMMYFUNCTION("""COMPUTED_VALUE"""),135291875)</f>
        <v>135291875</v>
      </c>
      <c r="E130" s="103" t="str">
        <f ca="1">IFERROR(__xludf.DUMMYFUNCTION("""COMPUTED_VALUE"""),"American Robin")</f>
        <v>American Robin</v>
      </c>
      <c r="F130" s="103" t="str">
        <f ca="1">IFERROR(__xludf.DUMMYFUNCTION("""COMPUTED_VALUE"""),"AMRO")</f>
        <v>AMRO</v>
      </c>
      <c r="G130" s="103">
        <f ca="1">IFERROR(__xludf.DUMMYFUNCTION("""COMPUTED_VALUE"""),2)</f>
        <v>2</v>
      </c>
      <c r="H130" s="103" t="str">
        <f ca="1">IFERROR(__xludf.DUMMYFUNCTION("""COMPUTED_VALUE"""),"J")</f>
        <v>J</v>
      </c>
      <c r="I130" s="103"/>
      <c r="J130" s="103" t="str">
        <f ca="1">IFERROR(__xludf.DUMMYFUNCTION("""COMPUTED_VALUE"""),"FCJ")</f>
        <v>FCJ</v>
      </c>
      <c r="K130" s="103" t="str">
        <f ca="1">IFERROR(__xludf.DUMMYFUNCTION("""COMPUTED_VALUE"""),"U")</f>
        <v>U</v>
      </c>
      <c r="L130" s="103"/>
      <c r="M130" s="103"/>
      <c r="N130" s="103"/>
      <c r="O130" s="103">
        <f ca="1">IFERROR(__xludf.DUMMYFUNCTION("""COMPUTED_VALUE"""),0)</f>
        <v>0</v>
      </c>
      <c r="P130" s="103">
        <f ca="1">IFERROR(__xludf.DUMMYFUNCTION("""COMPUTED_VALUE"""),0)</f>
        <v>0</v>
      </c>
      <c r="Q130" s="103">
        <f ca="1">IFERROR(__xludf.DUMMYFUNCTION("""COMPUTED_VALUE"""),1)</f>
        <v>1</v>
      </c>
      <c r="R130" s="103">
        <f ca="1">IFERROR(__xludf.DUMMYFUNCTION("""COMPUTED_VALUE"""),1)</f>
        <v>1</v>
      </c>
      <c r="S130" s="103" t="str">
        <f ca="1">IFERROR(__xludf.DUMMYFUNCTION("""COMPUTED_VALUE"""),"N")</f>
        <v>N</v>
      </c>
      <c r="T130" s="103">
        <f ca="1">IFERROR(__xludf.DUMMYFUNCTION("""COMPUTED_VALUE"""),1)</f>
        <v>1</v>
      </c>
      <c r="U130" s="103">
        <f ca="1">IFERROR(__xludf.DUMMYFUNCTION("""COMPUTED_VALUE"""),3)</f>
        <v>3</v>
      </c>
      <c r="V130" s="103" t="str">
        <f ca="1">IFERROR(__xludf.DUMMYFUNCTION("""COMPUTED_VALUE"""),"J")</f>
        <v>J</v>
      </c>
      <c r="W130" s="103" t="str">
        <f ca="1">IFERROR(__xludf.DUMMYFUNCTION("""COMPUTED_VALUE"""),"J")</f>
        <v>J</v>
      </c>
      <c r="X130" s="103"/>
      <c r="Y130" s="103"/>
      <c r="Z130" s="103"/>
      <c r="AA130" s="103" t="str">
        <f ca="1">IFERROR(__xludf.DUMMYFUNCTION("""COMPUTED_VALUE"""),"J")</f>
        <v>J</v>
      </c>
      <c r="AB130" s="103"/>
      <c r="AC130" s="103"/>
      <c r="AD130" s="103">
        <f ca="1">IFERROR(__xludf.DUMMYFUNCTION("""COMPUTED_VALUE"""),128)</f>
        <v>128</v>
      </c>
      <c r="AE130" s="103">
        <f ca="1">IFERROR(__xludf.DUMMYFUNCTION("""COMPUTED_VALUE"""),75)</f>
        <v>75</v>
      </c>
      <c r="AF130" s="103">
        <f ca="1">IFERROR(__xludf.DUMMYFUNCTION("""COMPUTED_VALUE"""),300)</f>
        <v>300</v>
      </c>
      <c r="AG130" s="103">
        <f ca="1">IFERROR(__xludf.DUMMYFUNCTION("""COMPUTED_VALUE"""),7)</f>
        <v>7</v>
      </c>
      <c r="AH130" s="103">
        <f ca="1">IFERROR(__xludf.DUMMYFUNCTION("""COMPUTED_VALUE"""),3)</f>
        <v>3</v>
      </c>
      <c r="AI130" s="103">
        <f ca="1">IFERROR(__xludf.DUMMYFUNCTION("""COMPUTED_VALUE"""),9)</f>
        <v>9</v>
      </c>
      <c r="AJ130" s="103" t="str">
        <f ca="1">IFERROR(__xludf.DUMMYFUNCTION("""COMPUTED_VALUE"""),"MORS")</f>
        <v>MORS</v>
      </c>
      <c r="AK130" s="103">
        <f ca="1">IFERROR(__xludf.DUMMYFUNCTION("""COMPUTED_VALUE"""),15)</f>
        <v>15</v>
      </c>
      <c r="AL130" s="103"/>
      <c r="AM130" s="103"/>
      <c r="AN130" s="103"/>
      <c r="AO130" s="57">
        <f ca="1">IFERROR(__xludf.DUMMYFUNCTION("""COMPUTED_VALUE"""),2)</f>
        <v>2</v>
      </c>
      <c r="AP130" s="103">
        <f ca="1">IFERROR(__xludf.DUMMYFUNCTION("""COMPUTED_VALUE"""),1)</f>
        <v>1</v>
      </c>
    </row>
    <row r="131" spans="1:42">
      <c r="A131" s="103">
        <f ca="1">IFERROR(__xludf.DUMMYFUNCTION("""COMPUTED_VALUE"""),7)</f>
        <v>7</v>
      </c>
      <c r="B131" s="103" t="str">
        <f ca="1">IFERROR(__xludf.DUMMYFUNCTION("""COMPUTED_VALUE"""),"NDS")</f>
        <v>NDS</v>
      </c>
      <c r="C131" s="103" t="str">
        <f ca="1">IFERROR(__xludf.DUMMYFUNCTION("""COMPUTED_VALUE"""),"R")</f>
        <v>R</v>
      </c>
      <c r="D131" s="103">
        <f ca="1">IFERROR(__xludf.DUMMYFUNCTION("""COMPUTED_VALUE"""),230196611)</f>
        <v>230196611</v>
      </c>
      <c r="E131" s="103" t="str">
        <f ca="1">IFERROR(__xludf.DUMMYFUNCTION("""COMPUTED_VALUE"""),"Spotted Towhee")</f>
        <v>Spotted Towhee</v>
      </c>
      <c r="F131" s="103" t="str">
        <f ca="1">IFERROR(__xludf.DUMMYFUNCTION("""COMPUTED_VALUE"""),"SPTO")</f>
        <v>SPTO</v>
      </c>
      <c r="G131" s="103">
        <f ca="1">IFERROR(__xludf.DUMMYFUNCTION("""COMPUTED_VALUE"""),6)</f>
        <v>6</v>
      </c>
      <c r="H131" s="103" t="str">
        <f ca="1">IFERROR(__xludf.DUMMYFUNCTION("""COMPUTED_VALUE"""),"P")</f>
        <v>P</v>
      </c>
      <c r="I131" s="103"/>
      <c r="J131" s="103" t="str">
        <f ca="1">IFERROR(__xludf.DUMMYFUNCTION("""COMPUTED_VALUE"""),"DCB")</f>
        <v>DCB</v>
      </c>
      <c r="K131" s="103" t="str">
        <f ca="1">IFERROR(__xludf.DUMMYFUNCTION("""COMPUTED_VALUE"""),"F")</f>
        <v>F</v>
      </c>
      <c r="L131" s="103" t="str">
        <f ca="1">IFERROR(__xludf.DUMMYFUNCTION("""COMPUTED_VALUE"""),"P")</f>
        <v>P</v>
      </c>
      <c r="M131" s="103"/>
      <c r="N131" s="103"/>
      <c r="O131" s="103"/>
      <c r="P131" s="103"/>
      <c r="Q131" s="103"/>
      <c r="R131" s="103"/>
      <c r="S131" s="103"/>
      <c r="T131" s="103"/>
      <c r="U131" s="103"/>
      <c r="V131" s="103" t="str">
        <f ca="1">IFERROR(__xludf.DUMMYFUNCTION("""COMPUTED_VALUE"""),"B")</f>
        <v>B</v>
      </c>
      <c r="W131" s="103"/>
      <c r="X131" s="103"/>
      <c r="Y131" s="103"/>
      <c r="Z131" s="103"/>
      <c r="AA131" s="103" t="str">
        <f ca="1">IFERROR(__xludf.DUMMYFUNCTION("""COMPUTED_VALUE"""),"B")</f>
        <v>B</v>
      </c>
      <c r="AB131" s="103"/>
      <c r="AC131" s="103"/>
      <c r="AD131" s="103">
        <f ca="1">IFERROR(__xludf.DUMMYFUNCTION("""COMPUTED_VALUE"""),79)</f>
        <v>79</v>
      </c>
      <c r="AE131" s="103"/>
      <c r="AF131" s="103">
        <f ca="1">IFERROR(__xludf.DUMMYFUNCTION("""COMPUTED_VALUE"""),300)</f>
        <v>300</v>
      </c>
      <c r="AG131" s="103">
        <f ca="1">IFERROR(__xludf.DUMMYFUNCTION("""COMPUTED_VALUE"""),7)</f>
        <v>7</v>
      </c>
      <c r="AH131" s="103">
        <f ca="1">IFERROR(__xludf.DUMMYFUNCTION("""COMPUTED_VALUE"""),3)</f>
        <v>3</v>
      </c>
      <c r="AI131" s="103">
        <f ca="1">IFERROR(__xludf.DUMMYFUNCTION("""COMPUTED_VALUE"""),9)</f>
        <v>9</v>
      </c>
      <c r="AJ131" s="103" t="str">
        <f ca="1">IFERROR(__xludf.DUMMYFUNCTION("""COMPUTED_VALUE"""),"MORS")</f>
        <v>MORS</v>
      </c>
      <c r="AK131" s="103">
        <f ca="1">IFERROR(__xludf.DUMMYFUNCTION("""COMPUTED_VALUE"""),7)</f>
        <v>7</v>
      </c>
      <c r="AL131" s="103"/>
      <c r="AM131" s="103">
        <f ca="1">IFERROR(__xludf.DUMMYFUNCTION("""COMPUTED_VALUE"""),3)</f>
        <v>3</v>
      </c>
      <c r="AN131" s="103" t="str">
        <f ca="1">IFERROR(__xludf.DUMMYFUNCTION("""COMPUTED_VALUE"""),"Caught earlier in the day. Released early")</f>
        <v>Caught earlier in the day. Released early</v>
      </c>
      <c r="AO131" s="57" t="str">
        <f ca="1">IFERROR(__xludf.DUMMYFUNCTION("""COMPUTED_VALUE"""),"R")</f>
        <v>R</v>
      </c>
      <c r="AP131" s="103">
        <f ca="1">IFERROR(__xludf.DUMMYFUNCTION("""COMPUTED_VALUE"""),1)</f>
        <v>1</v>
      </c>
    </row>
    <row r="132" spans="1:42">
      <c r="A132" s="103">
        <f ca="1">IFERROR(__xludf.DUMMYFUNCTION("""COMPUTED_VALUE"""),8)</f>
        <v>8</v>
      </c>
      <c r="B132" s="103" t="str">
        <f ca="1">IFERROR(__xludf.DUMMYFUNCTION("""COMPUTED_VALUE"""),"NDS")</f>
        <v>NDS</v>
      </c>
      <c r="C132" s="103" t="str">
        <f ca="1">IFERROR(__xludf.DUMMYFUNCTION("""COMPUTED_VALUE"""),"R")</f>
        <v>R</v>
      </c>
      <c r="D132" s="103">
        <f ca="1">IFERROR(__xludf.DUMMYFUNCTION("""COMPUTED_VALUE"""),247105140)</f>
        <v>247105140</v>
      </c>
      <c r="E132" s="103" t="str">
        <f ca="1">IFERROR(__xludf.DUMMYFUNCTION("""COMPUTED_VALUE"""),"Swainson's Thrush")</f>
        <v>Swainson's Thrush</v>
      </c>
      <c r="F132" s="103" t="str">
        <f ca="1">IFERROR(__xludf.DUMMYFUNCTION("""COMPUTED_VALUE"""),"SWTH")</f>
        <v>SWTH</v>
      </c>
      <c r="G132" s="103">
        <f ca="1">IFERROR(__xludf.DUMMYFUNCTION("""COMPUTED_VALUE"""),6)</f>
        <v>6</v>
      </c>
      <c r="H132" s="103" t="str">
        <f ca="1">IFERROR(__xludf.DUMMYFUNCTION("""COMPUTED_VALUE"""),"P")</f>
        <v>P</v>
      </c>
      <c r="I132" s="103"/>
      <c r="J132" s="103" t="str">
        <f ca="1">IFERROR(__xludf.DUMMYFUNCTION("""COMPUTED_VALUE"""),"DCB")</f>
        <v>DCB</v>
      </c>
      <c r="K132" s="103" t="str">
        <f ca="1">IFERROR(__xludf.DUMMYFUNCTION("""COMPUTED_VALUE"""),"M")</f>
        <v>M</v>
      </c>
      <c r="L132" s="103" t="str">
        <f ca="1">IFERROR(__xludf.DUMMYFUNCTION("""COMPUTED_VALUE"""),"C")</f>
        <v>C</v>
      </c>
      <c r="M132" s="103"/>
      <c r="N132" s="103"/>
      <c r="O132" s="103">
        <f ca="1">IFERROR(__xludf.DUMMYFUNCTION("""COMPUTED_VALUE"""),3)</f>
        <v>3</v>
      </c>
      <c r="P132" s="103">
        <f ca="1">IFERROR(__xludf.DUMMYFUNCTION("""COMPUTED_VALUE"""),0)</f>
        <v>0</v>
      </c>
      <c r="Q132" s="103">
        <f ca="1">IFERROR(__xludf.DUMMYFUNCTION("""COMPUTED_VALUE"""),2)</f>
        <v>2</v>
      </c>
      <c r="R132" s="103">
        <f ca="1">IFERROR(__xludf.DUMMYFUNCTION("""COMPUTED_VALUE"""),0)</f>
        <v>0</v>
      </c>
      <c r="S132" s="103" t="str">
        <f ca="1">IFERROR(__xludf.DUMMYFUNCTION("""COMPUTED_VALUE"""),"N")</f>
        <v>N</v>
      </c>
      <c r="T132" s="103">
        <f ca="1">IFERROR(__xludf.DUMMYFUNCTION("""COMPUTED_VALUE"""),1)</f>
        <v>1</v>
      </c>
      <c r="U132" s="103"/>
      <c r="V132" s="103"/>
      <c r="W132" s="103" t="str">
        <f ca="1">IFERROR(__xludf.DUMMYFUNCTION("""COMPUTED_VALUE"""),"B")</f>
        <v>B</v>
      </c>
      <c r="X132" s="103"/>
      <c r="Y132" s="103"/>
      <c r="Z132" s="103"/>
      <c r="AA132" s="103" t="str">
        <f ca="1">IFERROR(__xludf.DUMMYFUNCTION("""COMPUTED_VALUE"""),"B")</f>
        <v>B</v>
      </c>
      <c r="AB132" s="103"/>
      <c r="AC132" s="103"/>
      <c r="AD132" s="103">
        <f ca="1">IFERROR(__xludf.DUMMYFUNCTION("""COMPUTED_VALUE"""),92)</f>
        <v>92</v>
      </c>
      <c r="AE132" s="103">
        <f ca="1">IFERROR(__xludf.DUMMYFUNCTION("""COMPUTED_VALUE"""),30.4)</f>
        <v>30.4</v>
      </c>
      <c r="AF132" s="103">
        <f ca="1">IFERROR(__xludf.DUMMYFUNCTION("""COMPUTED_VALUE"""),300)</f>
        <v>300</v>
      </c>
      <c r="AG132" s="103">
        <f ca="1">IFERROR(__xludf.DUMMYFUNCTION("""COMPUTED_VALUE"""),7)</f>
        <v>7</v>
      </c>
      <c r="AH132" s="103">
        <f ca="1">IFERROR(__xludf.DUMMYFUNCTION("""COMPUTED_VALUE"""),3)</f>
        <v>3</v>
      </c>
      <c r="AI132" s="103">
        <f ca="1">IFERROR(__xludf.DUMMYFUNCTION("""COMPUTED_VALUE"""),1010)</f>
        <v>1010</v>
      </c>
      <c r="AJ132" s="103" t="str">
        <f ca="1">IFERROR(__xludf.DUMMYFUNCTION("""COMPUTED_VALUE"""),"MORS")</f>
        <v>MORS</v>
      </c>
      <c r="AK132" s="103">
        <f ca="1">IFERROR(__xludf.DUMMYFUNCTION("""COMPUTED_VALUE"""),7)</f>
        <v>7</v>
      </c>
      <c r="AL132" s="103"/>
      <c r="AM132" s="103">
        <f ca="1">IFERROR(__xludf.DUMMYFUNCTION("""COMPUTED_VALUE"""),4)</f>
        <v>4</v>
      </c>
      <c r="AN132" s="103" t="str">
        <f ca="1">IFERROR(__xludf.DUMMYFUNCTION("""COMPUTED_VALUE"""),"P10 8mm longer than pcovs")</f>
        <v>P10 8mm longer than pcovs</v>
      </c>
      <c r="AO132" s="57" t="str">
        <f ca="1">IFERROR(__xludf.DUMMYFUNCTION("""COMPUTED_VALUE"""),"R")</f>
        <v>R</v>
      </c>
      <c r="AP132" s="103">
        <f ca="1">IFERROR(__xludf.DUMMYFUNCTION("""COMPUTED_VALUE"""),1)</f>
        <v>1</v>
      </c>
    </row>
    <row r="133" spans="1:42">
      <c r="A133" s="103">
        <f ca="1">IFERROR(__xludf.DUMMYFUNCTION("""COMPUTED_VALUE"""),9)</f>
        <v>9</v>
      </c>
      <c r="B133" s="103" t="str">
        <f ca="1">IFERROR(__xludf.DUMMYFUNCTION("""COMPUTED_VALUE"""),"NDS")</f>
        <v>NDS</v>
      </c>
      <c r="C133" s="103" t="str">
        <f ca="1">IFERROR(__xludf.DUMMYFUNCTION("""COMPUTED_VALUE"""),"R")</f>
        <v>R</v>
      </c>
      <c r="D133" s="103">
        <f ca="1">IFERROR(__xludf.DUMMYFUNCTION("""COMPUTED_VALUE"""),230196611)</f>
        <v>230196611</v>
      </c>
      <c r="E133" s="103" t="str">
        <f ca="1">IFERROR(__xludf.DUMMYFUNCTION("""COMPUTED_VALUE"""),"Spotted Towhee")</f>
        <v>Spotted Towhee</v>
      </c>
      <c r="F133" s="103" t="str">
        <f ca="1">IFERROR(__xludf.DUMMYFUNCTION("""COMPUTED_VALUE"""),"SPTO")</f>
        <v>SPTO</v>
      </c>
      <c r="G133" s="103">
        <f ca="1">IFERROR(__xludf.DUMMYFUNCTION("""COMPUTED_VALUE"""),1)</f>
        <v>1</v>
      </c>
      <c r="H133" s="103" t="str">
        <f ca="1">IFERROR(__xludf.DUMMYFUNCTION("""COMPUTED_VALUE"""),"P")</f>
        <v>P</v>
      </c>
      <c r="I133" s="103"/>
      <c r="J133" s="103" t="str">
        <f ca="1">IFERROR(__xludf.DUMMYFUNCTION("""COMPUTED_VALUE"""),"UAJ")</f>
        <v>UAJ</v>
      </c>
      <c r="K133" s="103" t="str">
        <f ca="1">IFERROR(__xludf.DUMMYFUNCTION("""COMPUTED_VALUE"""),"M")</f>
        <v>M</v>
      </c>
      <c r="L133" s="103" t="str">
        <f ca="1">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 ca="1">IFERROR(__xludf.DUMMYFUNCTION("""COMPUTED_VALUE"""),300)</f>
        <v>300</v>
      </c>
      <c r="AG133" s="103">
        <f ca="1">IFERROR(__xludf.DUMMYFUNCTION("""COMPUTED_VALUE"""),7)</f>
        <v>7</v>
      </c>
      <c r="AH133" s="103">
        <f ca="1">IFERROR(__xludf.DUMMYFUNCTION("""COMPUTED_VALUE"""),3)</f>
        <v>3</v>
      </c>
      <c r="AI133" s="103">
        <f ca="1">IFERROR(__xludf.DUMMYFUNCTION("""COMPUTED_VALUE"""),1120)</f>
        <v>1120</v>
      </c>
      <c r="AJ133" s="103" t="str">
        <f ca="1">IFERROR(__xludf.DUMMYFUNCTION("""COMPUTED_VALUE"""),"MORS")</f>
        <v>MORS</v>
      </c>
      <c r="AK133" s="103">
        <f ca="1">IFERROR(__xludf.DUMMYFUNCTION("""COMPUTED_VALUE"""),7)</f>
        <v>7</v>
      </c>
      <c r="AL133" s="103" t="str">
        <f ca="1">IFERROR(__xludf.DUMMYFUNCTION("""COMPUTED_VALUE"""),"T")</f>
        <v>T</v>
      </c>
      <c r="AM133" s="103">
        <f ca="1">IFERROR(__xludf.DUMMYFUNCTION("""COMPUTED_VALUE"""),5)</f>
        <v>5</v>
      </c>
      <c r="AN133" s="103" t="str">
        <f ca="1">IFERROR(__xludf.DUMMYFUNCTION("""COMPUTED_VALUE"""),"Recap same day. Excessive bleeding from tongue. Released at net to reduce stress.")</f>
        <v>Recap same day. Excessive bleeding from tongue. Released at net to reduce stress.</v>
      </c>
      <c r="AO133" s="57" t="str">
        <f ca="1">IFERROR(__xludf.DUMMYFUNCTION("""COMPUTED_VALUE"""),"R")</f>
        <v>R</v>
      </c>
      <c r="AP133" s="103">
        <f ca="1">IFERROR(__xludf.DUMMYFUNCTION("""COMPUTED_VALUE"""),1)</f>
        <v>1</v>
      </c>
    </row>
    <row r="134" spans="1:42">
      <c r="A134" s="103">
        <f ca="1">IFERROR(__xludf.DUMMYFUNCTION("""COMPUTED_VALUE"""),10)</f>
        <v>10</v>
      </c>
      <c r="B134" s="103" t="str">
        <f ca="1">IFERROR(__xludf.DUMMYFUNCTION("""COMPUTED_VALUE"""),"NDS")</f>
        <v>NDS</v>
      </c>
      <c r="C134" s="103" t="str">
        <f ca="1">IFERROR(__xludf.DUMMYFUNCTION("""COMPUTED_VALUE"""),"N")</f>
        <v>N</v>
      </c>
      <c r="D134" s="103">
        <f ca="1">IFERROR(__xludf.DUMMYFUNCTION("""COMPUTED_VALUE"""),281191239)</f>
        <v>281191239</v>
      </c>
      <c r="E134" s="103" t="str">
        <f ca="1">IFERROR(__xludf.DUMMYFUNCTION("""COMPUTED_VALUE"""),"Oregon Junco")</f>
        <v>Oregon Junco</v>
      </c>
      <c r="F134" s="103" t="str">
        <f ca="1">IFERROR(__xludf.DUMMYFUNCTION("""COMPUTED_VALUE"""),"ORJU")</f>
        <v>ORJU</v>
      </c>
      <c r="G134" s="103">
        <f ca="1">IFERROR(__xludf.DUMMYFUNCTION("""COMPUTED_VALUE"""),2)</f>
        <v>2</v>
      </c>
      <c r="H134" s="103" t="str">
        <f ca="1">IFERROR(__xludf.DUMMYFUNCTION("""COMPUTED_VALUE"""),"J")</f>
        <v>J</v>
      </c>
      <c r="I134" s="103"/>
      <c r="J134" s="103" t="str">
        <f ca="1">IFERROR(__xludf.DUMMYFUNCTION("""COMPUTED_VALUE"""),"FCJ")</f>
        <v>FCJ</v>
      </c>
      <c r="K134" s="103" t="str">
        <f ca="1">IFERROR(__xludf.DUMMYFUNCTION("""COMPUTED_VALUE"""),"U")</f>
        <v>U</v>
      </c>
      <c r="L134" s="103"/>
      <c r="M134" s="103"/>
      <c r="N134" s="103"/>
      <c r="O134" s="103">
        <f ca="1">IFERROR(__xludf.DUMMYFUNCTION("""COMPUTED_VALUE"""),0)</f>
        <v>0</v>
      </c>
      <c r="P134" s="103">
        <f ca="1">IFERROR(__xludf.DUMMYFUNCTION("""COMPUTED_VALUE"""),0)</f>
        <v>0</v>
      </c>
      <c r="Q134" s="103">
        <f ca="1">IFERROR(__xludf.DUMMYFUNCTION("""COMPUTED_VALUE"""),1)</f>
        <v>1</v>
      </c>
      <c r="R134" s="103">
        <f ca="1">IFERROR(__xludf.DUMMYFUNCTION("""COMPUTED_VALUE"""),0)</f>
        <v>0</v>
      </c>
      <c r="S134" s="103" t="str">
        <f ca="1">IFERROR(__xludf.DUMMYFUNCTION("""COMPUTED_VALUE"""),"N")</f>
        <v>N</v>
      </c>
      <c r="T134" s="103">
        <f ca="1">IFERROR(__xludf.DUMMYFUNCTION("""COMPUTED_VALUE"""),0)</f>
        <v>0</v>
      </c>
      <c r="U134" s="103"/>
      <c r="V134" s="103" t="str">
        <f ca="1">IFERROR(__xludf.DUMMYFUNCTION("""COMPUTED_VALUE"""),"J")</f>
        <v>J</v>
      </c>
      <c r="W134" s="103" t="str">
        <f ca="1">IFERROR(__xludf.DUMMYFUNCTION("""COMPUTED_VALUE"""),"J")</f>
        <v>J</v>
      </c>
      <c r="X134" s="103" t="str">
        <f ca="1">IFERROR(__xludf.DUMMYFUNCTION("""COMPUTED_VALUE"""),"J")</f>
        <v>J</v>
      </c>
      <c r="Y134" s="103" t="str">
        <f ca="1">IFERROR(__xludf.DUMMYFUNCTION("""COMPUTED_VALUE"""),"J")</f>
        <v>J</v>
      </c>
      <c r="Z134" s="103" t="str">
        <f ca="1">IFERROR(__xludf.DUMMYFUNCTION("""COMPUTED_VALUE"""),"J")</f>
        <v>J</v>
      </c>
      <c r="AA134" s="103" t="str">
        <f ca="1">IFERROR(__xludf.DUMMYFUNCTION("""COMPUTED_VALUE"""),"J")</f>
        <v>J</v>
      </c>
      <c r="AB134" s="103"/>
      <c r="AC134" s="103"/>
      <c r="AD134" s="103">
        <f ca="1">IFERROR(__xludf.DUMMYFUNCTION("""COMPUTED_VALUE"""),73)</f>
        <v>73</v>
      </c>
      <c r="AE134" s="103">
        <f ca="1">IFERROR(__xludf.DUMMYFUNCTION("""COMPUTED_VALUE"""),16)</f>
        <v>16</v>
      </c>
      <c r="AF134" s="103">
        <f ca="1">IFERROR(__xludf.DUMMYFUNCTION("""COMPUTED_VALUE"""),300)</f>
        <v>300</v>
      </c>
      <c r="AG134" s="103">
        <f ca="1">IFERROR(__xludf.DUMMYFUNCTION("""COMPUTED_VALUE"""),7)</f>
        <v>7</v>
      </c>
      <c r="AH134" s="103">
        <f ca="1">IFERROR(__xludf.DUMMYFUNCTION("""COMPUTED_VALUE"""),3)</f>
        <v>3</v>
      </c>
      <c r="AI134" s="103">
        <f ca="1">IFERROR(__xludf.DUMMYFUNCTION("""COMPUTED_VALUE"""),1120)</f>
        <v>1120</v>
      </c>
      <c r="AJ134" s="103" t="str">
        <f ca="1">IFERROR(__xludf.DUMMYFUNCTION("""COMPUTED_VALUE"""),"MORS")</f>
        <v>MORS</v>
      </c>
      <c r="AK134" s="103">
        <f ca="1">IFERROR(__xludf.DUMMYFUNCTION("""COMPUTED_VALUE"""),3)</f>
        <v>3</v>
      </c>
      <c r="AL134" s="103"/>
      <c r="AM134" s="103"/>
      <c r="AN134" s="103"/>
      <c r="AO134" s="57">
        <f ca="1">IFERROR(__xludf.DUMMYFUNCTION("""COMPUTED_VALUE"""),1)</f>
        <v>1</v>
      </c>
      <c r="AP134" s="103">
        <f ca="1">IFERROR(__xludf.DUMMYFUNCTION("""COMPUTED_VALUE"""),1)</f>
        <v>1</v>
      </c>
    </row>
    <row r="135" spans="1:42">
      <c r="A135" s="103">
        <f ca="1">IFERROR(__xludf.DUMMYFUNCTION("""COMPUTED_VALUE"""),1)</f>
        <v>1</v>
      </c>
      <c r="B135" s="103" t="str">
        <f ca="1">IFERROR(__xludf.DUMMYFUNCTION("""COMPUTED_VALUE"""),"AXW")</f>
        <v>AXW</v>
      </c>
      <c r="C135" s="103" t="str">
        <f ca="1">IFERROR(__xludf.DUMMYFUNCTION("""COMPUTED_VALUE"""),"R")</f>
        <v>R</v>
      </c>
      <c r="D135" s="103">
        <f ca="1">IFERROR(__xludf.DUMMYFUNCTION("""COMPUTED_VALUE"""),172176237)</f>
        <v>172176237</v>
      </c>
      <c r="E135" s="103" t="str">
        <f ca="1">IFERROR(__xludf.DUMMYFUNCTION("""COMPUTED_VALUE"""),"Song Sparrow")</f>
        <v>Song Sparrow</v>
      </c>
      <c r="F135" s="103" t="str">
        <f ca="1">IFERROR(__xludf.DUMMYFUNCTION("""COMPUTED_VALUE"""),"SOSP")</f>
        <v>SOSP</v>
      </c>
      <c r="G135" s="103">
        <f ca="1">IFERROR(__xludf.DUMMYFUNCTION("""COMPUTED_VALUE"""),1)</f>
        <v>1</v>
      </c>
      <c r="H135" s="103" t="str">
        <f ca="1">IFERROR(__xludf.DUMMYFUNCTION("""COMPUTED_VALUE"""),"B")</f>
        <v>B</v>
      </c>
      <c r="I135" s="103"/>
      <c r="J135" s="103" t="str">
        <f ca="1">IFERROR(__xludf.DUMMYFUNCTION("""COMPUTED_VALUE"""),"DCB")</f>
        <v>DCB</v>
      </c>
      <c r="K135" s="103" t="str">
        <f ca="1">IFERROR(__xludf.DUMMYFUNCTION("""COMPUTED_VALUE"""),"M")</f>
        <v>M</v>
      </c>
      <c r="L135" s="103" t="str">
        <f ca="1">IFERROR(__xludf.DUMMYFUNCTION("""COMPUTED_VALUE"""),"C")</f>
        <v>C</v>
      </c>
      <c r="M135" s="103"/>
      <c r="N135" s="103"/>
      <c r="O135" s="103">
        <f ca="1">IFERROR(__xludf.DUMMYFUNCTION("""COMPUTED_VALUE"""),2)</f>
        <v>2</v>
      </c>
      <c r="P135" s="103">
        <f ca="1">IFERROR(__xludf.DUMMYFUNCTION("""COMPUTED_VALUE"""),0)</f>
        <v>0</v>
      </c>
      <c r="Q135" s="103">
        <f ca="1">IFERROR(__xludf.DUMMYFUNCTION("""COMPUTED_VALUE"""),1)</f>
        <v>1</v>
      </c>
      <c r="R135" s="103">
        <f ca="1">IFERROR(__xludf.DUMMYFUNCTION("""COMPUTED_VALUE"""),0)</f>
        <v>0</v>
      </c>
      <c r="S135" s="103" t="str">
        <f ca="1">IFERROR(__xludf.DUMMYFUNCTION("""COMPUTED_VALUE"""),"N")</f>
        <v>N</v>
      </c>
      <c r="T135" s="103">
        <f ca="1">IFERROR(__xludf.DUMMYFUNCTION("""COMPUTED_VALUE"""),2)</f>
        <v>2</v>
      </c>
      <c r="U135" s="103"/>
      <c r="V135" s="103"/>
      <c r="W135" s="103"/>
      <c r="X135" s="103"/>
      <c r="Y135" s="103"/>
      <c r="Z135" s="103"/>
      <c r="AA135" s="103"/>
      <c r="AB135" s="103"/>
      <c r="AC135" s="103"/>
      <c r="AD135" s="103">
        <f ca="1">IFERROR(__xludf.DUMMYFUNCTION("""COMPUTED_VALUE"""),66)</f>
        <v>66</v>
      </c>
      <c r="AE135" s="103">
        <f ca="1">IFERROR(__xludf.DUMMYFUNCTION("""COMPUTED_VALUE"""),22.6)</f>
        <v>22.6</v>
      </c>
      <c r="AF135" s="103">
        <f ca="1">IFERROR(__xludf.DUMMYFUNCTION("""COMPUTED_VALUE"""),300)</f>
        <v>300</v>
      </c>
      <c r="AG135" s="103">
        <f ca="1">IFERROR(__xludf.DUMMYFUNCTION("""COMPUTED_VALUE"""),7)</f>
        <v>7</v>
      </c>
      <c r="AH135" s="103">
        <f ca="1">IFERROR(__xludf.DUMMYFUNCTION("""COMPUTED_VALUE"""),3)</f>
        <v>3</v>
      </c>
      <c r="AI135" s="103">
        <f ca="1">IFERROR(__xludf.DUMMYFUNCTION("""COMPUTED_VALUE"""),630)</f>
        <v>630</v>
      </c>
      <c r="AJ135" s="103" t="str">
        <f ca="1">IFERROR(__xludf.DUMMYFUNCTION("""COMPUTED_VALUE"""),"MORS")</f>
        <v>MORS</v>
      </c>
      <c r="AK135" s="103">
        <f ca="1">IFERROR(__xludf.DUMMYFUNCTION("""COMPUTED_VALUE"""),10)</f>
        <v>10</v>
      </c>
      <c r="AL135" s="103"/>
      <c r="AM135" s="103"/>
      <c r="AN135" s="103"/>
      <c r="AO135" s="57" t="str">
        <f ca="1">IFERROR(__xludf.DUMMYFUNCTION("""COMPUTED_VALUE"""),"R")</f>
        <v>R</v>
      </c>
      <c r="AP135" s="103">
        <f ca="1">IFERROR(__xludf.DUMMYFUNCTION("""COMPUTED_VALUE"""),2)</f>
        <v>2</v>
      </c>
    </row>
    <row r="136" spans="1:42">
      <c r="A136" s="103">
        <f ca="1">IFERROR(__xludf.DUMMYFUNCTION("""COMPUTED_VALUE"""),2)</f>
        <v>2</v>
      </c>
      <c r="B136" s="103" t="str">
        <f ca="1">IFERROR(__xludf.DUMMYFUNCTION("""COMPUTED_VALUE"""),"AXW")</f>
        <v>AXW</v>
      </c>
      <c r="C136" s="103" t="str">
        <f ca="1">IFERROR(__xludf.DUMMYFUNCTION("""COMPUTED_VALUE"""),"R")</f>
        <v>R</v>
      </c>
      <c r="D136" s="103">
        <f ca="1">IFERROR(__xludf.DUMMYFUNCTION("""COMPUTED_VALUE"""),178168889)</f>
        <v>178168889</v>
      </c>
      <c r="E136" s="103" t="str">
        <f ca="1">IFERROR(__xludf.DUMMYFUNCTION("""COMPUTED_VALUE"""),"Spotted Towhee")</f>
        <v>Spotted Towhee</v>
      </c>
      <c r="F136" s="103" t="str">
        <f ca="1">IFERROR(__xludf.DUMMYFUNCTION("""COMPUTED_VALUE"""),"SPTO")</f>
        <v>SPTO</v>
      </c>
      <c r="G136" s="103">
        <f ca="1">IFERROR(__xludf.DUMMYFUNCTION("""COMPUTED_VALUE"""),6)</f>
        <v>6</v>
      </c>
      <c r="H136" s="103" t="str">
        <f ca="1">IFERROR(__xludf.DUMMYFUNCTION("""COMPUTED_VALUE"""),"P")</f>
        <v>P</v>
      </c>
      <c r="I136" s="103"/>
      <c r="J136" s="103" t="str">
        <f ca="1">IFERROR(__xludf.DUMMYFUNCTION("""COMPUTED_VALUE"""),"DCB")</f>
        <v>DCB</v>
      </c>
      <c r="K136" s="103" t="str">
        <f ca="1">IFERROR(__xludf.DUMMYFUNCTION("""COMPUTED_VALUE"""),"M")</f>
        <v>M</v>
      </c>
      <c r="L136" s="103" t="str">
        <f ca="1">IFERROR(__xludf.DUMMYFUNCTION("""COMPUTED_VALUE"""),"C")</f>
        <v>C</v>
      </c>
      <c r="M136" s="103"/>
      <c r="N136" s="103"/>
      <c r="O136" s="103">
        <f ca="1">IFERROR(__xludf.DUMMYFUNCTION("""COMPUTED_VALUE"""),3)</f>
        <v>3</v>
      </c>
      <c r="P136" s="103">
        <f ca="1">IFERROR(__xludf.DUMMYFUNCTION("""COMPUTED_VALUE"""),0)</f>
        <v>0</v>
      </c>
      <c r="Q136" s="103">
        <f ca="1">IFERROR(__xludf.DUMMYFUNCTION("""COMPUTED_VALUE"""),2)</f>
        <v>2</v>
      </c>
      <c r="R136" s="103">
        <f ca="1">IFERROR(__xludf.DUMMYFUNCTION("""COMPUTED_VALUE"""),1)</f>
        <v>1</v>
      </c>
      <c r="S136" s="103" t="str">
        <f ca="1">IFERROR(__xludf.DUMMYFUNCTION("""COMPUTED_VALUE"""),"A")</f>
        <v>A</v>
      </c>
      <c r="T136" s="103">
        <f ca="1">IFERROR(__xludf.DUMMYFUNCTION("""COMPUTED_VALUE"""),2)</f>
        <v>2</v>
      </c>
      <c r="U136" s="103"/>
      <c r="V136" s="103"/>
      <c r="W136" s="103"/>
      <c r="X136" s="103"/>
      <c r="Y136" s="103"/>
      <c r="Z136" s="103"/>
      <c r="AA136" s="103"/>
      <c r="AB136" s="103"/>
      <c r="AC136" s="103"/>
      <c r="AD136" s="103">
        <f ca="1">IFERROR(__xludf.DUMMYFUNCTION("""COMPUTED_VALUE"""),86)</f>
        <v>86</v>
      </c>
      <c r="AE136" s="103">
        <f ca="1">IFERROR(__xludf.DUMMYFUNCTION("""COMPUTED_VALUE"""),37.6)</f>
        <v>37.6</v>
      </c>
      <c r="AF136" s="103">
        <f ca="1">IFERROR(__xludf.DUMMYFUNCTION("""COMPUTED_VALUE"""),300)</f>
        <v>300</v>
      </c>
      <c r="AG136" s="103">
        <f ca="1">IFERROR(__xludf.DUMMYFUNCTION("""COMPUTED_VALUE"""),7)</f>
        <v>7</v>
      </c>
      <c r="AH136" s="103">
        <f ca="1">IFERROR(__xludf.DUMMYFUNCTION("""COMPUTED_VALUE"""),3)</f>
        <v>3</v>
      </c>
      <c r="AI136" s="103">
        <f ca="1">IFERROR(__xludf.DUMMYFUNCTION("""COMPUTED_VALUE"""),630)</f>
        <v>630</v>
      </c>
      <c r="AJ136" s="103" t="str">
        <f ca="1">IFERROR(__xludf.DUMMYFUNCTION("""COMPUTED_VALUE"""),"MORS")</f>
        <v>MORS</v>
      </c>
      <c r="AK136" s="103">
        <f ca="1">IFERROR(__xludf.DUMMYFUNCTION("""COMPUTED_VALUE"""),7)</f>
        <v>7</v>
      </c>
      <c r="AL136" s="103"/>
      <c r="AM136" s="103"/>
      <c r="AN136" s="103"/>
      <c r="AO136" s="57" t="str">
        <f ca="1">IFERROR(__xludf.DUMMYFUNCTION("""COMPUTED_VALUE"""),"R")</f>
        <v>R</v>
      </c>
      <c r="AP136" s="103">
        <f ca="1">IFERROR(__xludf.DUMMYFUNCTION("""COMPUTED_VALUE"""),2)</f>
        <v>2</v>
      </c>
    </row>
    <row r="137" spans="1:42">
      <c r="A137" s="103">
        <f ca="1">IFERROR(__xludf.DUMMYFUNCTION("""COMPUTED_VALUE"""),3)</f>
        <v>3</v>
      </c>
      <c r="B137" s="103" t="str">
        <f ca="1">IFERROR(__xludf.DUMMYFUNCTION("""COMPUTED_VALUE"""),"AXW")</f>
        <v>AXW</v>
      </c>
      <c r="C137" s="103" t="str">
        <f ca="1">IFERROR(__xludf.DUMMYFUNCTION("""COMPUTED_VALUE"""),"R")</f>
        <v>R</v>
      </c>
      <c r="D137" s="103">
        <f ca="1">IFERROR(__xludf.DUMMYFUNCTION("""COMPUTED_VALUE"""),279113620)</f>
        <v>279113620</v>
      </c>
      <c r="E137" s="103" t="str">
        <f ca="1">IFERROR(__xludf.DUMMYFUNCTION("""COMPUTED_VALUE"""),"Song Sparrow")</f>
        <v>Song Sparrow</v>
      </c>
      <c r="F137" s="103" t="str">
        <f ca="1">IFERROR(__xludf.DUMMYFUNCTION("""COMPUTED_VALUE"""),"SOSP")</f>
        <v>SOSP</v>
      </c>
      <c r="G137" s="103">
        <f ca="1">IFERROR(__xludf.DUMMYFUNCTION("""COMPUTED_VALUE"""),1)</f>
        <v>1</v>
      </c>
      <c r="H137" s="103" t="str">
        <f ca="1">IFERROR(__xludf.DUMMYFUNCTION("""COMPUTED_VALUE"""),"P")</f>
        <v>P</v>
      </c>
      <c r="I137" s="103"/>
      <c r="J137" s="103" t="str">
        <f ca="1">IFERROR(__xludf.DUMMYFUNCTION("""COMPUTED_VALUE"""),"UAJ")</f>
        <v>UAJ</v>
      </c>
      <c r="K137" s="103" t="str">
        <f ca="1">IFERROR(__xludf.DUMMYFUNCTION("""COMPUTED_VALUE"""),"F")</f>
        <v>F</v>
      </c>
      <c r="L137" s="103" t="str">
        <f ca="1">IFERROR(__xludf.DUMMYFUNCTION("""COMPUTED_VALUE"""),"B")</f>
        <v>B</v>
      </c>
      <c r="M137" s="103"/>
      <c r="N137" s="103"/>
      <c r="O137" s="103">
        <f ca="1">IFERROR(__xludf.DUMMYFUNCTION("""COMPUTED_VALUE"""),0)</f>
        <v>0</v>
      </c>
      <c r="P137" s="103">
        <f ca="1">IFERROR(__xludf.DUMMYFUNCTION("""COMPUTED_VALUE"""),2)</f>
        <v>2</v>
      </c>
      <c r="Q137" s="103">
        <f ca="1">IFERROR(__xludf.DUMMYFUNCTION("""COMPUTED_VALUE"""),1)</f>
        <v>1</v>
      </c>
      <c r="R137" s="103">
        <f ca="1">IFERROR(__xludf.DUMMYFUNCTION("""COMPUTED_VALUE"""),0)</f>
        <v>0</v>
      </c>
      <c r="S137" s="103" t="str">
        <f ca="1">IFERROR(__xludf.DUMMYFUNCTION("""COMPUTED_VALUE"""),"N")</f>
        <v>N</v>
      </c>
      <c r="T137" s="103">
        <f ca="1">IFERROR(__xludf.DUMMYFUNCTION("""COMPUTED_VALUE"""),2)</f>
        <v>2</v>
      </c>
      <c r="U137" s="103"/>
      <c r="V137" s="103"/>
      <c r="W137" s="103"/>
      <c r="X137" s="103"/>
      <c r="Y137" s="103"/>
      <c r="Z137" s="103"/>
      <c r="AA137" s="103"/>
      <c r="AB137" s="103"/>
      <c r="AC137" s="103"/>
      <c r="AD137" s="103">
        <f ca="1">IFERROR(__xludf.DUMMYFUNCTION("""COMPUTED_VALUE"""),67)</f>
        <v>67</v>
      </c>
      <c r="AE137" s="103">
        <f ca="1">IFERROR(__xludf.DUMMYFUNCTION("""COMPUTED_VALUE"""),26.1)</f>
        <v>26.1</v>
      </c>
      <c r="AF137" s="103">
        <f ca="1">IFERROR(__xludf.DUMMYFUNCTION("""COMPUTED_VALUE"""),300)</f>
        <v>300</v>
      </c>
      <c r="AG137" s="103">
        <f ca="1">IFERROR(__xludf.DUMMYFUNCTION("""COMPUTED_VALUE"""),7)</f>
        <v>7</v>
      </c>
      <c r="AH137" s="103">
        <f ca="1">IFERROR(__xludf.DUMMYFUNCTION("""COMPUTED_VALUE"""),3)</f>
        <v>3</v>
      </c>
      <c r="AI137" s="103">
        <f ca="1">IFERROR(__xludf.DUMMYFUNCTION("""COMPUTED_VALUE"""),630)</f>
        <v>630</v>
      </c>
      <c r="AJ137" s="103" t="str">
        <f ca="1">IFERROR(__xludf.DUMMYFUNCTION("""COMPUTED_VALUE"""),"MORS")</f>
        <v>MORS</v>
      </c>
      <c r="AK137" s="103">
        <f ca="1">IFERROR(__xludf.DUMMYFUNCTION("""COMPUTED_VALUE"""),20)</f>
        <v>20</v>
      </c>
      <c r="AL137" s="103"/>
      <c r="AM137" s="103"/>
      <c r="AN137" s="103"/>
      <c r="AO137" s="57" t="str">
        <f ca="1">IFERROR(__xludf.DUMMYFUNCTION("""COMPUTED_VALUE"""),"R")</f>
        <v>R</v>
      </c>
      <c r="AP137" s="103">
        <f ca="1">IFERROR(__xludf.DUMMYFUNCTION("""COMPUTED_VALUE"""),2)</f>
        <v>2</v>
      </c>
    </row>
    <row r="138" spans="1:42">
      <c r="A138" s="103">
        <f ca="1">IFERROR(__xludf.DUMMYFUNCTION("""COMPUTED_VALUE"""),4)</f>
        <v>4</v>
      </c>
      <c r="B138" s="103" t="str">
        <f ca="1">IFERROR(__xludf.DUMMYFUNCTION("""COMPUTED_VALUE"""),"AXW")</f>
        <v>AXW</v>
      </c>
      <c r="C138" s="103" t="str">
        <f ca="1">IFERROR(__xludf.DUMMYFUNCTION("""COMPUTED_VALUE"""),"R")</f>
        <v>R</v>
      </c>
      <c r="D138" s="103">
        <f ca="1">IFERROR(__xludf.DUMMYFUNCTION("""COMPUTED_VALUE"""),283105290)</f>
        <v>283105290</v>
      </c>
      <c r="E138" s="103" t="str">
        <f ca="1">IFERROR(__xludf.DUMMYFUNCTION("""COMPUTED_VALUE"""),"Swainson's Thrush")</f>
        <v>Swainson's Thrush</v>
      </c>
      <c r="F138" s="103" t="str">
        <f ca="1">IFERROR(__xludf.DUMMYFUNCTION("""COMPUTED_VALUE"""),"SWTH")</f>
        <v>SWTH</v>
      </c>
      <c r="G138" s="103">
        <f ca="1">IFERROR(__xludf.DUMMYFUNCTION("""COMPUTED_VALUE"""),1)</f>
        <v>1</v>
      </c>
      <c r="H138" s="103" t="str">
        <f ca="1">IFERROR(__xludf.DUMMYFUNCTION("""COMPUTED_VALUE"""),"P")</f>
        <v>P</v>
      </c>
      <c r="I138" s="103"/>
      <c r="J138" s="103" t="str">
        <f ca="1">IFERROR(__xludf.DUMMYFUNCTION("""COMPUTED_VALUE"""),"UAJ")</f>
        <v>UAJ</v>
      </c>
      <c r="K138" s="103" t="str">
        <f ca="1">IFERROR(__xludf.DUMMYFUNCTION("""COMPUTED_VALUE"""),"F")</f>
        <v>F</v>
      </c>
      <c r="L138" s="103" t="str">
        <f ca="1">IFERROR(__xludf.DUMMYFUNCTION("""COMPUTED_VALUE"""),"B")</f>
        <v>B</v>
      </c>
      <c r="M138" s="103"/>
      <c r="N138" s="103"/>
      <c r="O138" s="103">
        <f ca="1">IFERROR(__xludf.DUMMYFUNCTION("""COMPUTED_VALUE"""),0)</f>
        <v>0</v>
      </c>
      <c r="P138" s="103">
        <f ca="1">IFERROR(__xludf.DUMMYFUNCTION("""COMPUTED_VALUE"""),2)</f>
        <v>2</v>
      </c>
      <c r="Q138" s="103">
        <f ca="1">IFERROR(__xludf.DUMMYFUNCTION("""COMPUTED_VALUE"""),1)</f>
        <v>1</v>
      </c>
      <c r="R138" s="103">
        <f ca="1">IFERROR(__xludf.DUMMYFUNCTION("""COMPUTED_VALUE"""),0)</f>
        <v>0</v>
      </c>
      <c r="S138" s="103" t="str">
        <f ca="1">IFERROR(__xludf.DUMMYFUNCTION("""COMPUTED_VALUE"""),"N")</f>
        <v>N</v>
      </c>
      <c r="T138" s="103">
        <f ca="1">IFERROR(__xludf.DUMMYFUNCTION("""COMPUTED_VALUE"""),2)</f>
        <v>2</v>
      </c>
      <c r="U138" s="103"/>
      <c r="V138" s="103"/>
      <c r="W138" s="103"/>
      <c r="X138" s="103"/>
      <c r="Y138" s="103"/>
      <c r="Z138" s="103"/>
      <c r="AA138" s="103"/>
      <c r="AB138" s="103"/>
      <c r="AC138" s="103"/>
      <c r="AD138" s="103">
        <f ca="1">IFERROR(__xludf.DUMMYFUNCTION("""COMPUTED_VALUE"""),91)</f>
        <v>91</v>
      </c>
      <c r="AE138" s="103">
        <f ca="1">IFERROR(__xludf.DUMMYFUNCTION("""COMPUTED_VALUE"""),29)</f>
        <v>29</v>
      </c>
      <c r="AF138" s="103">
        <f ca="1">IFERROR(__xludf.DUMMYFUNCTION("""COMPUTED_VALUE"""),300)</f>
        <v>300</v>
      </c>
      <c r="AG138" s="103">
        <f ca="1">IFERROR(__xludf.DUMMYFUNCTION("""COMPUTED_VALUE"""),7)</f>
        <v>7</v>
      </c>
      <c r="AH138" s="103">
        <f ca="1">IFERROR(__xludf.DUMMYFUNCTION("""COMPUTED_VALUE"""),3)</f>
        <v>3</v>
      </c>
      <c r="AI138" s="103">
        <f ca="1">IFERROR(__xludf.DUMMYFUNCTION("""COMPUTED_VALUE"""),710)</f>
        <v>710</v>
      </c>
      <c r="AJ138" s="103" t="str">
        <f ca="1">IFERROR(__xludf.DUMMYFUNCTION("""COMPUTED_VALUE"""),"MORS")</f>
        <v>MORS</v>
      </c>
      <c r="AK138" s="103">
        <f ca="1">IFERROR(__xludf.DUMMYFUNCTION("""COMPUTED_VALUE"""),14)</f>
        <v>14</v>
      </c>
      <c r="AL138" s="103"/>
      <c r="AM138" s="103">
        <f ca="1">IFERROR(__xludf.DUMMYFUNCTION("""COMPUTED_VALUE"""),1)</f>
        <v>1</v>
      </c>
      <c r="AN138" s="103" t="str">
        <f ca="1">IFERROR(__xludf.DUMMYFUNCTION("""COMPUTED_VALUE"""),"P10 4mm")</f>
        <v>P10 4mm</v>
      </c>
      <c r="AO138" s="57" t="str">
        <f ca="1">IFERROR(__xludf.DUMMYFUNCTION("""COMPUTED_VALUE"""),"R")</f>
        <v>R</v>
      </c>
      <c r="AP138" s="103">
        <f ca="1">IFERROR(__xludf.DUMMYFUNCTION("""COMPUTED_VALUE"""),2)</f>
        <v>2</v>
      </c>
    </row>
    <row r="139" spans="1:42">
      <c r="A139" s="103">
        <f ca="1">IFERROR(__xludf.DUMMYFUNCTION("""COMPUTED_VALUE"""),5)</f>
        <v>5</v>
      </c>
      <c r="B139" s="103" t="str">
        <f ca="1">IFERROR(__xludf.DUMMYFUNCTION("""COMPUTED_VALUE"""),"JSM")</f>
        <v>JSM</v>
      </c>
      <c r="C139" s="103" t="str">
        <f ca="1">IFERROR(__xludf.DUMMYFUNCTION("""COMPUTED_VALUE"""),"U")</f>
        <v>U</v>
      </c>
      <c r="D139" s="103"/>
      <c r="E139" s="103" t="str">
        <f ca="1">IFERROR(__xludf.DUMMYFUNCTION("""COMPUTED_VALUE"""),"Anna's Hummingbird")</f>
        <v>Anna's Hummingbird</v>
      </c>
      <c r="F139" s="103" t="str">
        <f ca="1">IFERROR(__xludf.DUMMYFUNCTION("""COMPUTED_VALUE"""),"ANHU")</f>
        <v>ANHU</v>
      </c>
      <c r="G139" s="103">
        <f ca="1">IFERROR(__xludf.DUMMYFUNCTION("""COMPUTED_VALUE"""),9)</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 ca="1">IFERROR(__xludf.DUMMYFUNCTION("""COMPUTED_VALUE"""),7)</f>
        <v>7</v>
      </c>
      <c r="AH139" s="103">
        <f ca="1">IFERROR(__xludf.DUMMYFUNCTION("""COMPUTED_VALUE"""),3)</f>
        <v>3</v>
      </c>
      <c r="AI139" s="103">
        <f ca="1">IFERROR(__xludf.DUMMYFUNCTION("""COMPUTED_VALUE"""),710)</f>
        <v>710</v>
      </c>
      <c r="AJ139" s="103" t="str">
        <f ca="1">IFERROR(__xludf.DUMMYFUNCTION("""COMPUTED_VALUE"""),"MORS")</f>
        <v>MORS</v>
      </c>
      <c r="AK139" s="103">
        <f ca="1">IFERROR(__xludf.DUMMYFUNCTION("""COMPUTED_VALUE"""),9)</f>
        <v>9</v>
      </c>
      <c r="AL139" s="103"/>
      <c r="AM139" s="103"/>
      <c r="AN139" s="103"/>
      <c r="AO139" s="57" t="str">
        <f ca="1">IFERROR(__xludf.DUMMYFUNCTION("""COMPUTED_VALUE"""),"U")</f>
        <v>U</v>
      </c>
      <c r="AP139" s="103">
        <f ca="1">IFERROR(__xludf.DUMMYFUNCTION("""COMPUTED_VALUE"""),2)</f>
        <v>2</v>
      </c>
    </row>
    <row r="140" spans="1:42">
      <c r="A140" s="103">
        <f ca="1">IFERROR(__xludf.DUMMYFUNCTION("""COMPUTED_VALUE"""),6)</f>
        <v>6</v>
      </c>
      <c r="B140" s="103" t="str">
        <f ca="1">IFERROR(__xludf.DUMMYFUNCTION("""COMPUTED_VALUE"""),"AXW")</f>
        <v>AXW</v>
      </c>
      <c r="C140" s="103" t="str">
        <f ca="1">IFERROR(__xludf.DUMMYFUNCTION("""COMPUTED_VALUE"""),"N")</f>
        <v>N</v>
      </c>
      <c r="D140" s="103">
        <f ca="1">IFERROR(__xludf.DUMMYFUNCTION("""COMPUTED_VALUE"""),281191236)</f>
        <v>281191236</v>
      </c>
      <c r="E140" s="103" t="str">
        <f ca="1">IFERROR(__xludf.DUMMYFUNCTION("""COMPUTED_VALUE"""),"Purple Finch")</f>
        <v>Purple Finch</v>
      </c>
      <c r="F140" s="103" t="str">
        <f ca="1">IFERROR(__xludf.DUMMYFUNCTION("""COMPUTED_VALUE"""),"PUFI")</f>
        <v>PUFI</v>
      </c>
      <c r="G140" s="103">
        <f ca="1">IFERROR(__xludf.DUMMYFUNCTION("""COMPUTED_VALUE"""),6)</f>
        <v>6</v>
      </c>
      <c r="H140" s="103" t="str">
        <f ca="1">IFERROR(__xludf.DUMMYFUNCTION("""COMPUTED_VALUE"""),"P")</f>
        <v>P</v>
      </c>
      <c r="I140" s="103"/>
      <c r="J140" s="103" t="str">
        <f ca="1">IFERROR(__xludf.DUMMYFUNCTION("""COMPUTED_VALUE"""),"DCB")</f>
        <v>DCB</v>
      </c>
      <c r="K140" s="103" t="str">
        <f ca="1">IFERROR(__xludf.DUMMYFUNCTION("""COMPUTED_VALUE"""),"F")</f>
        <v>F</v>
      </c>
      <c r="L140" s="103" t="str">
        <f ca="1">IFERROR(__xludf.DUMMYFUNCTION("""COMPUTED_VALUE"""),"B")</f>
        <v>B</v>
      </c>
      <c r="M140" s="103"/>
      <c r="N140" s="103"/>
      <c r="O140" s="103">
        <f ca="1">IFERROR(__xludf.DUMMYFUNCTION("""COMPUTED_VALUE"""),0)</f>
        <v>0</v>
      </c>
      <c r="P140" s="103">
        <f ca="1">IFERROR(__xludf.DUMMYFUNCTION("""COMPUTED_VALUE"""),4)</f>
        <v>4</v>
      </c>
      <c r="Q140" s="103">
        <f ca="1">IFERROR(__xludf.DUMMYFUNCTION("""COMPUTED_VALUE"""),4)</f>
        <v>4</v>
      </c>
      <c r="R140" s="103">
        <f ca="1">IFERROR(__xludf.DUMMYFUNCTION("""COMPUTED_VALUE"""),0)</f>
        <v>0</v>
      </c>
      <c r="S140" s="103" t="str">
        <f ca="1">IFERROR(__xludf.DUMMYFUNCTION("""COMPUTED_VALUE"""),"N")</f>
        <v>N</v>
      </c>
      <c r="T140" s="103">
        <f ca="1">IFERROR(__xludf.DUMMYFUNCTION("""COMPUTED_VALUE"""),1)</f>
        <v>1</v>
      </c>
      <c r="U140" s="103"/>
      <c r="V140" s="103"/>
      <c r="W140" s="103"/>
      <c r="X140" s="103"/>
      <c r="Y140" s="103"/>
      <c r="Z140" s="103"/>
      <c r="AA140" s="103"/>
      <c r="AB140" s="103"/>
      <c r="AC140" s="103"/>
      <c r="AD140" s="103">
        <f ca="1">IFERROR(__xludf.DUMMYFUNCTION("""COMPUTED_VALUE"""),80)</f>
        <v>80</v>
      </c>
      <c r="AE140" s="103">
        <f ca="1">IFERROR(__xludf.DUMMYFUNCTION("""COMPUTED_VALUE"""),24.2)</f>
        <v>24.2</v>
      </c>
      <c r="AF140" s="103">
        <f ca="1">IFERROR(__xludf.DUMMYFUNCTION("""COMPUTED_VALUE"""),300)</f>
        <v>300</v>
      </c>
      <c r="AG140" s="103">
        <f ca="1">IFERROR(__xludf.DUMMYFUNCTION("""COMPUTED_VALUE"""),7)</f>
        <v>7</v>
      </c>
      <c r="AH140" s="103">
        <f ca="1">IFERROR(__xludf.DUMMYFUNCTION("""COMPUTED_VALUE"""),3)</f>
        <v>3</v>
      </c>
      <c r="AI140" s="103">
        <f ca="1">IFERROR(__xludf.DUMMYFUNCTION("""COMPUTED_VALUE"""),710)</f>
        <v>710</v>
      </c>
      <c r="AJ140" s="103" t="str">
        <f ca="1">IFERROR(__xludf.DUMMYFUNCTION("""COMPUTED_VALUE"""),"MORS")</f>
        <v>MORS</v>
      </c>
      <c r="AK140" s="103">
        <f ca="1">IFERROR(__xludf.DUMMYFUNCTION("""COMPUTED_VALUE"""),9)</f>
        <v>9</v>
      </c>
      <c r="AL140" s="103"/>
      <c r="AM140" s="103"/>
      <c r="AN140" s="103"/>
      <c r="AO140" s="57">
        <f ca="1">IFERROR(__xludf.DUMMYFUNCTION("""COMPUTED_VALUE"""),1)</f>
        <v>1</v>
      </c>
      <c r="AP140" s="103">
        <f ca="1">IFERROR(__xludf.DUMMYFUNCTION("""COMPUTED_VALUE"""),2)</f>
        <v>2</v>
      </c>
    </row>
    <row r="141" spans="1:42">
      <c r="A141" s="103">
        <f ca="1">IFERROR(__xludf.DUMMYFUNCTION("""COMPUTED_VALUE"""),7)</f>
        <v>7</v>
      </c>
      <c r="B141" s="103" t="str">
        <f ca="1">IFERROR(__xludf.DUMMYFUNCTION("""COMPUTED_VALUE"""),"AXW")</f>
        <v>AXW</v>
      </c>
      <c r="C141" s="103" t="str">
        <f ca="1">IFERROR(__xludf.DUMMYFUNCTION("""COMPUTED_VALUE"""),"N")</f>
        <v>N</v>
      </c>
      <c r="D141" s="103">
        <f ca="1">IFERROR(__xludf.DUMMYFUNCTION("""COMPUTED_VALUE"""),281191237)</f>
        <v>281191237</v>
      </c>
      <c r="E141" s="103" t="str">
        <f ca="1">IFERROR(__xludf.DUMMYFUNCTION("""COMPUTED_VALUE"""),"Oregon Junco")</f>
        <v>Oregon Junco</v>
      </c>
      <c r="F141" s="103" t="str">
        <f ca="1">IFERROR(__xludf.DUMMYFUNCTION("""COMPUTED_VALUE"""),"ORJU")</f>
        <v>ORJU</v>
      </c>
      <c r="G141" s="103">
        <f ca="1">IFERROR(__xludf.DUMMYFUNCTION("""COMPUTED_VALUE"""),6)</f>
        <v>6</v>
      </c>
      <c r="H141" s="103" t="str">
        <f ca="1">IFERROR(__xludf.DUMMYFUNCTION("""COMPUTED_VALUE"""),"P")</f>
        <v>P</v>
      </c>
      <c r="I141" s="103"/>
      <c r="J141" s="103" t="str">
        <f ca="1">IFERROR(__xludf.DUMMYFUNCTION("""COMPUTED_VALUE"""),"DCB")</f>
        <v>DCB</v>
      </c>
      <c r="K141" s="103" t="str">
        <f ca="1">IFERROR(__xludf.DUMMYFUNCTION("""COMPUTED_VALUE"""),"F")</f>
        <v>F</v>
      </c>
      <c r="L141" s="103" t="str">
        <f ca="1">IFERROR(__xludf.DUMMYFUNCTION("""COMPUTED_VALUE"""),"B")</f>
        <v>B</v>
      </c>
      <c r="M141" s="103"/>
      <c r="N141" s="103"/>
      <c r="O141" s="103">
        <f ca="1">IFERROR(__xludf.DUMMYFUNCTION("""COMPUTED_VALUE"""),0)</f>
        <v>0</v>
      </c>
      <c r="P141" s="103">
        <f ca="1">IFERROR(__xludf.DUMMYFUNCTION("""COMPUTED_VALUE"""),3)</f>
        <v>3</v>
      </c>
      <c r="Q141" s="103">
        <f ca="1">IFERROR(__xludf.DUMMYFUNCTION("""COMPUTED_VALUE"""),1)</f>
        <v>1</v>
      </c>
      <c r="R141" s="103">
        <f ca="1">IFERROR(__xludf.DUMMYFUNCTION("""COMPUTED_VALUE"""),0)</f>
        <v>0</v>
      </c>
      <c r="S141" s="103" t="str">
        <f ca="1">IFERROR(__xludf.DUMMYFUNCTION("""COMPUTED_VALUE"""),"A")</f>
        <v>A</v>
      </c>
      <c r="T141" s="103">
        <f ca="1">IFERROR(__xludf.DUMMYFUNCTION("""COMPUTED_VALUE"""),1)</f>
        <v>1</v>
      </c>
      <c r="U141" s="103"/>
      <c r="V141" s="103"/>
      <c r="W141" s="103"/>
      <c r="X141" s="103"/>
      <c r="Y141" s="103"/>
      <c r="Z141" s="103"/>
      <c r="AA141" s="103"/>
      <c r="AB141" s="103"/>
      <c r="AC141" s="103"/>
      <c r="AD141" s="103">
        <f ca="1">IFERROR(__xludf.DUMMYFUNCTION("""COMPUTED_VALUE"""),72)</f>
        <v>72</v>
      </c>
      <c r="AE141" s="103">
        <f ca="1">IFERROR(__xludf.DUMMYFUNCTION("""COMPUTED_VALUE"""),17)</f>
        <v>17</v>
      </c>
      <c r="AF141" s="103">
        <f ca="1">IFERROR(__xludf.DUMMYFUNCTION("""COMPUTED_VALUE"""),300)</f>
        <v>300</v>
      </c>
      <c r="AG141" s="103">
        <f ca="1">IFERROR(__xludf.DUMMYFUNCTION("""COMPUTED_VALUE"""),7)</f>
        <v>7</v>
      </c>
      <c r="AH141" s="103">
        <f ca="1">IFERROR(__xludf.DUMMYFUNCTION("""COMPUTED_VALUE"""),3)</f>
        <v>3</v>
      </c>
      <c r="AI141" s="103">
        <f ca="1">IFERROR(__xludf.DUMMYFUNCTION("""COMPUTED_VALUE"""),740)</f>
        <v>740</v>
      </c>
      <c r="AJ141" s="103" t="str">
        <f ca="1">IFERROR(__xludf.DUMMYFUNCTION("""COMPUTED_VALUE"""),"MORS")</f>
        <v>MORS</v>
      </c>
      <c r="AK141" s="103">
        <f ca="1">IFERROR(__xludf.DUMMYFUNCTION("""COMPUTED_VALUE"""),7)</f>
        <v>7</v>
      </c>
      <c r="AL141" s="103"/>
      <c r="AM141" s="103">
        <f ca="1">IFERROR(__xludf.DUMMYFUNCTION("""COMPUTED_VALUE"""),2)</f>
        <v>2</v>
      </c>
      <c r="AN141" s="103" t="str">
        <f ca="1">IFERROR(__xludf.DUMMYFUNCTION("""COMPUTED_VALUE"""),"Only molting right wing. White R6,5 completely white. R4 50% white.")</f>
        <v>Only molting right wing. White R6,5 completely white. R4 50% white.</v>
      </c>
      <c r="AO141" s="57">
        <f ca="1">IFERROR(__xludf.DUMMYFUNCTION("""COMPUTED_VALUE"""),1)</f>
        <v>1</v>
      </c>
      <c r="AP141" s="103">
        <f ca="1">IFERROR(__xludf.DUMMYFUNCTION("""COMPUTED_VALUE"""),2)</f>
        <v>2</v>
      </c>
    </row>
    <row r="142" spans="1:42">
      <c r="A142" s="103">
        <f ca="1">IFERROR(__xludf.DUMMYFUNCTION("""COMPUTED_VALUE"""),8)</f>
        <v>8</v>
      </c>
      <c r="B142" s="103" t="str">
        <f ca="1">IFERROR(__xludf.DUMMYFUNCTION("""COMPUTED_VALUE"""),"AXW")</f>
        <v>AXW</v>
      </c>
      <c r="C142" s="103" t="str">
        <f ca="1">IFERROR(__xludf.DUMMYFUNCTION("""COMPUTED_VALUE"""),"N")</f>
        <v>N</v>
      </c>
      <c r="D142" s="103">
        <f ca="1">IFERROR(__xludf.DUMMYFUNCTION("""COMPUTED_VALUE"""),288029961)</f>
        <v>288029961</v>
      </c>
      <c r="E142" s="103" t="str">
        <f ca="1">IFERROR(__xludf.DUMMYFUNCTION("""COMPUTED_VALUE"""),"Common Yellowthroat")</f>
        <v>Common Yellowthroat</v>
      </c>
      <c r="F142" s="103" t="str">
        <f ca="1">IFERROR(__xludf.DUMMYFUNCTION("""COMPUTED_VALUE"""),"COYE")</f>
        <v>COYE</v>
      </c>
      <c r="G142" s="103">
        <f ca="1">IFERROR(__xludf.DUMMYFUNCTION("""COMPUTED_VALUE"""),2)</f>
        <v>2</v>
      </c>
      <c r="H142" s="103" t="str">
        <f ca="1">IFERROR(__xludf.DUMMYFUNCTION("""COMPUTED_VALUE"""),"P")</f>
        <v>P</v>
      </c>
      <c r="I142" s="103"/>
      <c r="J142" s="103" t="str">
        <f ca="1">IFERROR(__xludf.DUMMYFUNCTION("""COMPUTED_VALUE"""),"FAJ")</f>
        <v>FAJ</v>
      </c>
      <c r="K142" s="103" t="str">
        <f ca="1">IFERROR(__xludf.DUMMYFUNCTION("""COMPUTED_VALUE"""),"U")</f>
        <v>U</v>
      </c>
      <c r="L142" s="103"/>
      <c r="M142" s="103"/>
      <c r="N142" s="103">
        <f ca="1">IFERROR(__xludf.DUMMYFUNCTION("""COMPUTED_VALUE"""),2)</f>
        <v>2</v>
      </c>
      <c r="O142" s="103">
        <f ca="1">IFERROR(__xludf.DUMMYFUNCTION("""COMPUTED_VALUE"""),0)</f>
        <v>0</v>
      </c>
      <c r="P142" s="103">
        <f ca="1">IFERROR(__xludf.DUMMYFUNCTION("""COMPUTED_VALUE"""),0)</f>
        <v>0</v>
      </c>
      <c r="Q142" s="103">
        <f ca="1">IFERROR(__xludf.DUMMYFUNCTION("""COMPUTED_VALUE"""),1)</f>
        <v>1</v>
      </c>
      <c r="R142" s="103">
        <f ca="1">IFERROR(__xludf.DUMMYFUNCTION("""COMPUTED_VALUE"""),4)</f>
        <v>4</v>
      </c>
      <c r="S142" s="103" t="str">
        <f ca="1">IFERROR(__xludf.DUMMYFUNCTION("""COMPUTED_VALUE"""),"N")</f>
        <v>N</v>
      </c>
      <c r="T142" s="103">
        <f ca="1">IFERROR(__xludf.DUMMYFUNCTION("""COMPUTED_VALUE"""),1)</f>
        <v>1</v>
      </c>
      <c r="U142" s="103">
        <f ca="1">IFERROR(__xludf.DUMMYFUNCTION("""COMPUTED_VALUE"""),3)</f>
        <v>3</v>
      </c>
      <c r="V142" s="103"/>
      <c r="W142" s="103"/>
      <c r="X142" s="103"/>
      <c r="Y142" s="103"/>
      <c r="Z142" s="103"/>
      <c r="AA142" s="103"/>
      <c r="AB142" s="103"/>
      <c r="AC142" s="103"/>
      <c r="AD142" s="103">
        <f ca="1">IFERROR(__xludf.DUMMYFUNCTION("""COMPUTED_VALUE"""),52)</f>
        <v>52</v>
      </c>
      <c r="AE142" s="103">
        <f ca="1">IFERROR(__xludf.DUMMYFUNCTION("""COMPUTED_VALUE"""),9)</f>
        <v>9</v>
      </c>
      <c r="AF142" s="103">
        <f ca="1">IFERROR(__xludf.DUMMYFUNCTION("""COMPUTED_VALUE"""),300)</f>
        <v>300</v>
      </c>
      <c r="AG142" s="103">
        <f ca="1">IFERROR(__xludf.DUMMYFUNCTION("""COMPUTED_VALUE"""),7)</f>
        <v>7</v>
      </c>
      <c r="AH142" s="103">
        <f ca="1">IFERROR(__xludf.DUMMYFUNCTION("""COMPUTED_VALUE"""),3)</f>
        <v>3</v>
      </c>
      <c r="AI142" s="103">
        <f ca="1">IFERROR(__xludf.DUMMYFUNCTION("""COMPUTED_VALUE"""),9)</f>
        <v>9</v>
      </c>
      <c r="AJ142" s="103" t="str">
        <f ca="1">IFERROR(__xludf.DUMMYFUNCTION("""COMPUTED_VALUE"""),"MORS")</f>
        <v>MORS</v>
      </c>
      <c r="AK142" s="103">
        <f ca="1">IFERROR(__xludf.DUMMYFUNCTION("""COMPUTED_VALUE"""),21)</f>
        <v>21</v>
      </c>
      <c r="AL142" s="103"/>
      <c r="AM142" s="103"/>
      <c r="AN142" s="103"/>
      <c r="AO142" s="57">
        <f ca="1">IFERROR(__xludf.DUMMYFUNCTION("""COMPUTED_VALUE"""),0)</f>
        <v>0</v>
      </c>
      <c r="AP142" s="103">
        <f ca="1">IFERROR(__xludf.DUMMYFUNCTION("""COMPUTED_VALUE"""),2)</f>
        <v>2</v>
      </c>
    </row>
    <row r="143" spans="1:42">
      <c r="A143" s="103">
        <f ca="1">IFERROR(__xludf.DUMMYFUNCTION("""COMPUTED_VALUE"""),9)</f>
        <v>9</v>
      </c>
      <c r="B143" s="103" t="str">
        <f ca="1">IFERROR(__xludf.DUMMYFUNCTION("""COMPUTED_VALUE"""),"JSM")</f>
        <v>JSM</v>
      </c>
      <c r="C143" s="103" t="str">
        <f ca="1">IFERROR(__xludf.DUMMYFUNCTION("""COMPUTED_VALUE"""),"N")</f>
        <v>N</v>
      </c>
      <c r="D143" s="103">
        <f ca="1">IFERROR(__xludf.DUMMYFUNCTION("""COMPUTED_VALUE"""),290077841)</f>
        <v>290077841</v>
      </c>
      <c r="E143" s="103" t="str">
        <f ca="1">IFERROR(__xludf.DUMMYFUNCTION("""COMPUTED_VALUE"""),"Brown Creeper")</f>
        <v>Brown Creeper</v>
      </c>
      <c r="F143" s="103" t="str">
        <f ca="1">IFERROR(__xludf.DUMMYFUNCTION("""COMPUTED_VALUE"""),"BRCR")</f>
        <v>BRCR</v>
      </c>
      <c r="G143" s="103">
        <f ca="1">IFERROR(__xludf.DUMMYFUNCTION("""COMPUTED_VALUE"""),2)</f>
        <v>2</v>
      </c>
      <c r="H143" s="103" t="str">
        <f ca="1">IFERROR(__xludf.DUMMYFUNCTION("""COMPUTED_VALUE"""),"J")</f>
        <v>J</v>
      </c>
      <c r="I143" s="103"/>
      <c r="J143" s="103" t="str">
        <f ca="1">IFERROR(__xludf.DUMMYFUNCTION("""COMPUTED_VALUE"""),"FCJ")</f>
        <v>FCJ</v>
      </c>
      <c r="K143" s="103" t="str">
        <f ca="1">IFERROR(__xludf.DUMMYFUNCTION("""COMPUTED_VALUE"""),"U")</f>
        <v>U</v>
      </c>
      <c r="L143" s="103"/>
      <c r="M143" s="103"/>
      <c r="N143" s="103"/>
      <c r="O143" s="103">
        <f ca="1">IFERROR(__xludf.DUMMYFUNCTION("""COMPUTED_VALUE"""),0)</f>
        <v>0</v>
      </c>
      <c r="P143" s="103">
        <f ca="1">IFERROR(__xludf.DUMMYFUNCTION("""COMPUTED_VALUE"""),0)</f>
        <v>0</v>
      </c>
      <c r="Q143" s="103">
        <f ca="1">IFERROR(__xludf.DUMMYFUNCTION("""COMPUTED_VALUE"""),0)</f>
        <v>0</v>
      </c>
      <c r="R143" s="103">
        <f ca="1">IFERROR(__xludf.DUMMYFUNCTION("""COMPUTED_VALUE"""),0)</f>
        <v>0</v>
      </c>
      <c r="S143" s="103" t="str">
        <f ca="1">IFERROR(__xludf.DUMMYFUNCTION("""COMPUTED_VALUE"""),"N")</f>
        <v>N</v>
      </c>
      <c r="T143" s="103">
        <f ca="1">IFERROR(__xludf.DUMMYFUNCTION("""COMPUTED_VALUE"""),0)</f>
        <v>0</v>
      </c>
      <c r="U143" s="103">
        <f ca="1">IFERROR(__xludf.DUMMYFUNCTION("""COMPUTED_VALUE"""),3)</f>
        <v>3</v>
      </c>
      <c r="V143" s="103"/>
      <c r="W143" s="103"/>
      <c r="X143" s="103"/>
      <c r="Y143" s="103"/>
      <c r="Z143" s="103"/>
      <c r="AA143" s="103"/>
      <c r="AB143" s="103"/>
      <c r="AC143" s="103"/>
      <c r="AD143" s="103">
        <f ca="1">IFERROR(__xludf.DUMMYFUNCTION("""COMPUTED_VALUE"""),62)</f>
        <v>62</v>
      </c>
      <c r="AE143" s="103">
        <f ca="1">IFERROR(__xludf.DUMMYFUNCTION("""COMPUTED_VALUE"""),8.4)</f>
        <v>8.4</v>
      </c>
      <c r="AF143" s="103">
        <f ca="1">IFERROR(__xludf.DUMMYFUNCTION("""COMPUTED_VALUE"""),300)</f>
        <v>300</v>
      </c>
      <c r="AG143" s="103">
        <f ca="1">IFERROR(__xludf.DUMMYFUNCTION("""COMPUTED_VALUE"""),7)</f>
        <v>7</v>
      </c>
      <c r="AH143" s="103">
        <f ca="1">IFERROR(__xludf.DUMMYFUNCTION("""COMPUTED_VALUE"""),3)</f>
        <v>3</v>
      </c>
      <c r="AI143" s="103"/>
      <c r="AJ143" s="103" t="str">
        <f ca="1">IFERROR(__xludf.DUMMYFUNCTION("""COMPUTED_VALUE"""),"MORS")</f>
        <v>MORS</v>
      </c>
      <c r="AK143" s="103">
        <f ca="1">IFERROR(__xludf.DUMMYFUNCTION("""COMPUTED_VALUE"""),2)</f>
        <v>2</v>
      </c>
      <c r="AL143" s="103"/>
      <c r="AM143" s="103">
        <f ca="1">IFERROR(__xludf.DUMMYFUNCTION("""COMPUTED_VALUE"""),3)</f>
        <v>3</v>
      </c>
      <c r="AN143" s="103" t="str">
        <f ca="1">IFERROR(__xludf.DUMMYFUNCTION("""COMPUTED_VALUE"""),"Skull to tip 17.3, nares to tip 12.1. Tarsus 17.0")</f>
        <v>Skull to tip 17.3, nares to tip 12.1. Tarsus 17.0</v>
      </c>
      <c r="AO143" s="57" t="str">
        <f ca="1">IFERROR(__xludf.DUMMYFUNCTION("""COMPUTED_VALUE"""),"0A")</f>
        <v>0A</v>
      </c>
      <c r="AP143" s="103">
        <f ca="1">IFERROR(__xludf.DUMMYFUNCTION("""COMPUTED_VALUE"""),2)</f>
        <v>2</v>
      </c>
    </row>
    <row r="144" spans="1:42">
      <c r="A144" s="103">
        <f ca="1">IFERROR(__xludf.DUMMYFUNCTION("""COMPUTED_VALUE"""),10)</f>
        <v>10</v>
      </c>
      <c r="B144" s="103" t="str">
        <f ca="1">IFERROR(__xludf.DUMMYFUNCTION("""COMPUTED_VALUE"""),"AXW")</f>
        <v>AXW</v>
      </c>
      <c r="C144" s="103" t="str">
        <f ca="1">IFERROR(__xludf.DUMMYFUNCTION("""COMPUTED_VALUE"""),"R")</f>
        <v>R</v>
      </c>
      <c r="D144" s="103">
        <f ca="1">IFERROR(__xludf.DUMMYFUNCTION("""COMPUTED_VALUE"""),283105290)</f>
        <v>283105290</v>
      </c>
      <c r="E144" s="103" t="str">
        <f ca="1">IFERROR(__xludf.DUMMYFUNCTION("""COMPUTED_VALUE"""),"Swainson's Thrush")</f>
        <v>Swainson's Thrush</v>
      </c>
      <c r="F144" s="103" t="str">
        <f ca="1">IFERROR(__xludf.DUMMYFUNCTION("""COMPUTED_VALUE"""),"SWTH")</f>
        <v>SWTH</v>
      </c>
      <c r="G144" s="103">
        <f ca="1">IFERROR(__xludf.DUMMYFUNCTION("""COMPUTED_VALUE"""),5)</f>
        <v>5</v>
      </c>
      <c r="H144" s="103" t="str">
        <f ca="1">IFERROR(__xludf.DUMMYFUNCTION("""COMPUTED_VALUE"""),"P")</f>
        <v>P</v>
      </c>
      <c r="I144" s="103"/>
      <c r="J144" s="103" t="str">
        <f ca="1">IFERROR(__xludf.DUMMYFUNCTION("""COMPUTED_VALUE"""),"FCF")</f>
        <v>FCF</v>
      </c>
      <c r="K144" s="103" t="str">
        <f ca="1">IFERROR(__xludf.DUMMYFUNCTION("""COMPUTED_VALUE"""),"F")</f>
        <v>F</v>
      </c>
      <c r="L144" s="103" t="str">
        <f ca="1">IFERROR(__xludf.DUMMYFUNCTION("""COMPUTED_VALUE"""),"B")</f>
        <v>B</v>
      </c>
      <c r="M144" s="103"/>
      <c r="N144" s="103"/>
      <c r="O144" s="103">
        <f ca="1">IFERROR(__xludf.DUMMYFUNCTION("""COMPUTED_VALUE"""),0)</f>
        <v>0</v>
      </c>
      <c r="P144" s="103">
        <f ca="1">IFERROR(__xludf.DUMMYFUNCTION("""COMPUTED_VALUE"""),2)</f>
        <v>2</v>
      </c>
      <c r="Q144" s="103">
        <f ca="1">IFERROR(__xludf.DUMMYFUNCTION("""COMPUTED_VALUE"""),1)</f>
        <v>1</v>
      </c>
      <c r="R144" s="103">
        <f ca="1">IFERROR(__xludf.DUMMYFUNCTION("""COMPUTED_VALUE"""),0)</f>
        <v>0</v>
      </c>
      <c r="S144" s="103" t="str">
        <f ca="1">IFERROR(__xludf.DUMMYFUNCTION("""COMPUTED_VALUE"""),"N")</f>
        <v>N</v>
      </c>
      <c r="T144" s="103">
        <f ca="1">IFERROR(__xludf.DUMMYFUNCTION("""COMPUTED_VALUE"""),2)</f>
        <v>2</v>
      </c>
      <c r="U144" s="103"/>
      <c r="V144" s="103"/>
      <c r="W144" s="103"/>
      <c r="X144" s="103"/>
      <c r="Y144" s="103"/>
      <c r="Z144" s="103"/>
      <c r="AA144" s="103"/>
      <c r="AB144" s="103"/>
      <c r="AC144" s="103"/>
      <c r="AD144" s="103">
        <f ca="1">IFERROR(__xludf.DUMMYFUNCTION("""COMPUTED_VALUE"""),91)</f>
        <v>91</v>
      </c>
      <c r="AE144" s="103">
        <f ca="1">IFERROR(__xludf.DUMMYFUNCTION("""COMPUTED_VALUE"""),28.8)</f>
        <v>28.8</v>
      </c>
      <c r="AF144" s="103">
        <f ca="1">IFERROR(__xludf.DUMMYFUNCTION("""COMPUTED_VALUE"""),300)</f>
        <v>300</v>
      </c>
      <c r="AG144" s="103">
        <f ca="1">IFERROR(__xludf.DUMMYFUNCTION("""COMPUTED_VALUE"""),7)</f>
        <v>7</v>
      </c>
      <c r="AH144" s="103">
        <f ca="1">IFERROR(__xludf.DUMMYFUNCTION("""COMPUTED_VALUE"""),3)</f>
        <v>3</v>
      </c>
      <c r="AI144" s="103">
        <f ca="1">IFERROR(__xludf.DUMMYFUNCTION("""COMPUTED_VALUE"""),1010)</f>
        <v>1010</v>
      </c>
      <c r="AJ144" s="103" t="str">
        <f ca="1">IFERROR(__xludf.DUMMYFUNCTION("""COMPUTED_VALUE"""),"MORS")</f>
        <v>MORS</v>
      </c>
      <c r="AK144" s="103">
        <f ca="1">IFERROR(__xludf.DUMMYFUNCTION("""COMPUTED_VALUE"""),14)</f>
        <v>14</v>
      </c>
      <c r="AL144" s="103"/>
      <c r="AM144" s="103">
        <f ca="1">IFERROR(__xludf.DUMMYFUNCTION("""COMPUTED_VALUE"""),4)</f>
        <v>4</v>
      </c>
      <c r="AN144" s="103" t="str">
        <f ca="1">IFERROR(__xludf.DUMMYFUNCTION("""COMPUTED_VALUE"""),"P10 5mm and rounded")</f>
        <v>P10 5mm and rounded</v>
      </c>
      <c r="AO144" s="57" t="str">
        <f ca="1">IFERROR(__xludf.DUMMYFUNCTION("""COMPUTED_VALUE"""),"R")</f>
        <v>R</v>
      </c>
      <c r="AP144" s="103">
        <f ca="1">IFERROR(__xludf.DUMMYFUNCTION("""COMPUTED_VALUE"""),2)</f>
        <v>2</v>
      </c>
    </row>
    <row r="145" spans="1:42">
      <c r="A145" s="103">
        <f ca="1">IFERROR(__xludf.DUMMYFUNCTION("""COMPUTED_VALUE"""),11)</f>
        <v>11</v>
      </c>
      <c r="B145" s="103" t="str">
        <f ca="1">IFERROR(__xludf.DUMMYFUNCTION("""COMPUTED_VALUE"""),"AXW")</f>
        <v>AXW</v>
      </c>
      <c r="C145" s="103" t="str">
        <f ca="1">IFERROR(__xludf.DUMMYFUNCTION("""COMPUTED_VALUE"""),"N")</f>
        <v>N</v>
      </c>
      <c r="D145" s="103">
        <f ca="1">IFERROR(__xludf.DUMMYFUNCTION("""COMPUTED_VALUE"""),230196612)</f>
        <v>230196612</v>
      </c>
      <c r="E145" s="103" t="str">
        <f ca="1">IFERROR(__xludf.DUMMYFUNCTION("""COMPUTED_VALUE"""),"Spotted Towhee")</f>
        <v>Spotted Towhee</v>
      </c>
      <c r="F145" s="103" t="str">
        <f ca="1">IFERROR(__xludf.DUMMYFUNCTION("""COMPUTED_VALUE"""),"SPTO")</f>
        <v>SPTO</v>
      </c>
      <c r="G145" s="103">
        <f ca="1">IFERROR(__xludf.DUMMYFUNCTION("""COMPUTED_VALUE"""),6)</f>
        <v>6</v>
      </c>
      <c r="H145" s="103" t="str">
        <f ca="1">IFERROR(__xludf.DUMMYFUNCTION("""COMPUTED_VALUE"""),"P")</f>
        <v>P</v>
      </c>
      <c r="I145" s="103"/>
      <c r="J145" s="103" t="str">
        <f ca="1">IFERROR(__xludf.DUMMYFUNCTION("""COMPUTED_VALUE"""),"DCB")</f>
        <v>DCB</v>
      </c>
      <c r="K145" s="103" t="str">
        <f ca="1">IFERROR(__xludf.DUMMYFUNCTION("""COMPUTED_VALUE"""),"M")</f>
        <v>M</v>
      </c>
      <c r="L145" s="103" t="str">
        <f ca="1">IFERROR(__xludf.DUMMYFUNCTION("""COMPUTED_VALUE"""),"C")</f>
        <v>C</v>
      </c>
      <c r="M145" s="103"/>
      <c r="N145" s="103"/>
      <c r="O145" s="103">
        <f ca="1">IFERROR(__xludf.DUMMYFUNCTION("""COMPUTED_VALUE"""),3)</f>
        <v>3</v>
      </c>
      <c r="P145" s="103">
        <f ca="1">IFERROR(__xludf.DUMMYFUNCTION("""COMPUTED_VALUE"""),0)</f>
        <v>0</v>
      </c>
      <c r="Q145" s="103">
        <f ca="1">IFERROR(__xludf.DUMMYFUNCTION("""COMPUTED_VALUE"""),1)</f>
        <v>1</v>
      </c>
      <c r="R145" s="103">
        <f ca="1">IFERROR(__xludf.DUMMYFUNCTION("""COMPUTED_VALUE"""),0)</f>
        <v>0</v>
      </c>
      <c r="S145" s="103" t="str">
        <f ca="1">IFERROR(__xludf.DUMMYFUNCTION("""COMPUTED_VALUE"""),"N")</f>
        <v>N</v>
      </c>
      <c r="T145" s="103">
        <f ca="1">IFERROR(__xludf.DUMMYFUNCTION("""COMPUTED_VALUE"""),1)</f>
        <v>1</v>
      </c>
      <c r="U145" s="103"/>
      <c r="V145" s="103"/>
      <c r="W145" s="103"/>
      <c r="X145" s="103"/>
      <c r="Y145" s="103"/>
      <c r="Z145" s="103"/>
      <c r="AA145" s="103"/>
      <c r="AB145" s="103"/>
      <c r="AC145" s="103"/>
      <c r="AD145" s="103">
        <f ca="1">IFERROR(__xludf.DUMMYFUNCTION("""COMPUTED_VALUE"""),82)</f>
        <v>82</v>
      </c>
      <c r="AE145" s="103">
        <f ca="1">IFERROR(__xludf.DUMMYFUNCTION("""COMPUTED_VALUE"""),37.5)</f>
        <v>37.5</v>
      </c>
      <c r="AF145" s="103">
        <f ca="1">IFERROR(__xludf.DUMMYFUNCTION("""COMPUTED_VALUE"""),300)</f>
        <v>300</v>
      </c>
      <c r="AG145" s="103">
        <f ca="1">IFERROR(__xludf.DUMMYFUNCTION("""COMPUTED_VALUE"""),7)</f>
        <v>7</v>
      </c>
      <c r="AH145" s="103">
        <f ca="1">IFERROR(__xludf.DUMMYFUNCTION("""COMPUTED_VALUE"""),3)</f>
        <v>3</v>
      </c>
      <c r="AI145" s="103">
        <f ca="1">IFERROR(__xludf.DUMMYFUNCTION("""COMPUTED_VALUE"""),1040)</f>
        <v>1040</v>
      </c>
      <c r="AJ145" s="103" t="str">
        <f ca="1">IFERROR(__xludf.DUMMYFUNCTION("""COMPUTED_VALUE"""),"MORS")</f>
        <v>MORS</v>
      </c>
      <c r="AK145" s="103">
        <f ca="1">IFERROR(__xludf.DUMMYFUNCTION("""COMPUTED_VALUE"""),6)</f>
        <v>6</v>
      </c>
      <c r="AL145" s="103"/>
      <c r="AM145" s="103">
        <f ca="1">IFERROR(__xludf.DUMMYFUNCTION("""COMPUTED_VALUE"""),5)</f>
        <v>5</v>
      </c>
      <c r="AN145" s="103" t="str">
        <f ca="1">IFERROR(__xludf.DUMMYFUNCTION("""COMPUTED_VALUE"""),"White on R6,5,4. Eye crimson red")</f>
        <v>White on R6,5,4. Eye crimson red</v>
      </c>
      <c r="AO145" s="57" t="str">
        <f ca="1">IFERROR(__xludf.DUMMYFUNCTION("""COMPUTED_VALUE"""),"1A")</f>
        <v>1A</v>
      </c>
      <c r="AP145" s="103">
        <f ca="1">IFERROR(__xludf.DUMMYFUNCTION("""COMPUTED_VALUE"""),2)</f>
        <v>2</v>
      </c>
    </row>
    <row r="146" spans="1:42">
      <c r="A146" s="103">
        <f ca="1">IFERROR(__xludf.DUMMYFUNCTION("""COMPUTED_VALUE"""),12)</f>
        <v>12</v>
      </c>
      <c r="B146" s="103" t="str">
        <f ca="1">IFERROR(__xludf.DUMMYFUNCTION("""COMPUTED_VALUE"""),"AXW")</f>
        <v>AXW</v>
      </c>
      <c r="C146" s="103" t="str">
        <f ca="1">IFERROR(__xludf.DUMMYFUNCTION("""COMPUTED_VALUE"""),"N")</f>
        <v>N</v>
      </c>
      <c r="D146" s="103">
        <f ca="1">IFERROR(__xludf.DUMMYFUNCTION("""COMPUTED_VALUE"""),281191240)</f>
        <v>281191240</v>
      </c>
      <c r="E146" s="103" t="str">
        <f ca="1">IFERROR(__xludf.DUMMYFUNCTION("""COMPUTED_VALUE"""),"Oregon Junco")</f>
        <v>Oregon Junco</v>
      </c>
      <c r="F146" s="103" t="str">
        <f ca="1">IFERROR(__xludf.DUMMYFUNCTION("""COMPUTED_VALUE"""),"ORJU")</f>
        <v>ORJU</v>
      </c>
      <c r="G146" s="103">
        <f ca="1">IFERROR(__xludf.DUMMYFUNCTION("""COMPUTED_VALUE"""),2)</f>
        <v>2</v>
      </c>
      <c r="H146" s="103" t="str">
        <f ca="1">IFERROR(__xludf.DUMMYFUNCTION("""COMPUTED_VALUE"""),"J")</f>
        <v>J</v>
      </c>
      <c r="I146" s="103"/>
      <c r="J146" s="103" t="str">
        <f ca="1">IFERROR(__xludf.DUMMYFUNCTION("""COMPUTED_VALUE"""),"FCJ")</f>
        <v>FCJ</v>
      </c>
      <c r="K146" s="103" t="str">
        <f ca="1">IFERROR(__xludf.DUMMYFUNCTION("""COMPUTED_VALUE"""),"U")</f>
        <v>U</v>
      </c>
      <c r="L146" s="103"/>
      <c r="M146" s="103"/>
      <c r="N146" s="103"/>
      <c r="O146" s="103">
        <f ca="1">IFERROR(__xludf.DUMMYFUNCTION("""COMPUTED_VALUE"""),0)</f>
        <v>0</v>
      </c>
      <c r="P146" s="103">
        <f ca="1">IFERROR(__xludf.DUMMYFUNCTION("""COMPUTED_VALUE"""),0)</f>
        <v>0</v>
      </c>
      <c r="Q146" s="103">
        <f ca="1">IFERROR(__xludf.DUMMYFUNCTION("""COMPUTED_VALUE"""),3)</f>
        <v>3</v>
      </c>
      <c r="R146" s="103">
        <f ca="1">IFERROR(__xludf.DUMMYFUNCTION("""COMPUTED_VALUE"""),0)</f>
        <v>0</v>
      </c>
      <c r="S146" s="103" t="str">
        <f ca="1">IFERROR(__xludf.DUMMYFUNCTION("""COMPUTED_VALUE"""),"N")</f>
        <v>N</v>
      </c>
      <c r="T146" s="103">
        <f ca="1">IFERROR(__xludf.DUMMYFUNCTION("""COMPUTED_VALUE"""),1)</f>
        <v>1</v>
      </c>
      <c r="U146" s="103">
        <f ca="1">IFERROR(__xludf.DUMMYFUNCTION("""COMPUTED_VALUE"""),3)</f>
        <v>3</v>
      </c>
      <c r="V146" s="103"/>
      <c r="W146" s="103"/>
      <c r="X146" s="103"/>
      <c r="Y146" s="103"/>
      <c r="Z146" s="103"/>
      <c r="AA146" s="103"/>
      <c r="AB146" s="103"/>
      <c r="AC146" s="103"/>
      <c r="AD146" s="103">
        <f ca="1">IFERROR(__xludf.DUMMYFUNCTION("""COMPUTED_VALUE"""),74)</f>
        <v>74</v>
      </c>
      <c r="AE146" s="103">
        <f ca="1">IFERROR(__xludf.DUMMYFUNCTION("""COMPUTED_VALUE"""),18.4)</f>
        <v>18.399999999999999</v>
      </c>
      <c r="AF146" s="103">
        <f ca="1">IFERROR(__xludf.DUMMYFUNCTION("""COMPUTED_VALUE"""),300)</f>
        <v>300</v>
      </c>
      <c r="AG146" s="103">
        <f ca="1">IFERROR(__xludf.DUMMYFUNCTION("""COMPUTED_VALUE"""),7)</f>
        <v>7</v>
      </c>
      <c r="AH146" s="103">
        <f ca="1">IFERROR(__xludf.DUMMYFUNCTION("""COMPUTED_VALUE"""),3)</f>
        <v>3</v>
      </c>
      <c r="AI146" s="103">
        <f ca="1">IFERROR(__xludf.DUMMYFUNCTION("""COMPUTED_VALUE"""),1120)</f>
        <v>1120</v>
      </c>
      <c r="AJ146" s="103" t="str">
        <f ca="1">IFERROR(__xludf.DUMMYFUNCTION("""COMPUTED_VALUE"""),"MORS")</f>
        <v>MORS</v>
      </c>
      <c r="AK146" s="103">
        <f ca="1">IFERROR(__xludf.DUMMYFUNCTION("""COMPUTED_VALUE"""),3)</f>
        <v>3</v>
      </c>
      <c r="AL146" s="103"/>
      <c r="AM146" s="103">
        <f ca="1">IFERROR(__xludf.DUMMYFUNCTION("""COMPUTED_VALUE"""),6)</f>
        <v>6</v>
      </c>
      <c r="AN146" s="103" t="str">
        <f ca="1">IFERROR(__xludf.DUMMYFUNCTION("""COMPUTED_VALUE"""),"White on R4 20% only on R side.")</f>
        <v>White on R4 20% only on R side.</v>
      </c>
      <c r="AO146" s="57">
        <f ca="1">IFERROR(__xludf.DUMMYFUNCTION("""COMPUTED_VALUE"""),1)</f>
        <v>1</v>
      </c>
      <c r="AP146" s="103">
        <f ca="1">IFERROR(__xludf.DUMMYFUNCTION("""COMPUTED_VALUE"""),2)</f>
        <v>2</v>
      </c>
    </row>
    <row r="147" spans="1:42">
      <c r="A147" s="103">
        <f ca="1">IFERROR(__xludf.DUMMYFUNCTION("""COMPUTED_VALUE"""),13)</f>
        <v>13</v>
      </c>
      <c r="B147" s="103" t="str">
        <f ca="1">IFERROR(__xludf.DUMMYFUNCTION("""COMPUTED_VALUE"""),"AXW")</f>
        <v>AXW</v>
      </c>
      <c r="C147" s="103" t="str">
        <f ca="1">IFERROR(__xludf.DUMMYFUNCTION("""COMPUTED_VALUE"""),"R")</f>
        <v>R</v>
      </c>
      <c r="D147" s="103">
        <f ca="1">IFERROR(__xludf.DUMMYFUNCTION("""COMPUTED_VALUE"""),283105227)</f>
        <v>283105227</v>
      </c>
      <c r="E147" s="103" t="str">
        <f ca="1">IFERROR(__xludf.DUMMYFUNCTION("""COMPUTED_VALUE"""),"Swainson's Thrush")</f>
        <v>Swainson's Thrush</v>
      </c>
      <c r="F147" s="103" t="str">
        <f ca="1">IFERROR(__xludf.DUMMYFUNCTION("""COMPUTED_VALUE"""),"SWTH")</f>
        <v>SWTH</v>
      </c>
      <c r="G147" s="103">
        <f ca="1">IFERROR(__xludf.DUMMYFUNCTION("""COMPUTED_VALUE"""),1)</f>
        <v>1</v>
      </c>
      <c r="H147" s="103" t="str">
        <f ca="1">IFERROR(__xludf.DUMMYFUNCTION("""COMPUTED_VALUE"""),"P")</f>
        <v>P</v>
      </c>
      <c r="I147" s="103"/>
      <c r="J147" s="103" t="str">
        <f ca="1">IFERROR(__xludf.DUMMYFUNCTION("""COMPUTED_VALUE"""),"UAJ")</f>
        <v>UAJ</v>
      </c>
      <c r="K147" s="103" t="str">
        <f ca="1">IFERROR(__xludf.DUMMYFUNCTION("""COMPUTED_VALUE"""),"M")</f>
        <v>M</v>
      </c>
      <c r="L147" s="103" t="str">
        <f ca="1">IFERROR(__xludf.DUMMYFUNCTION("""COMPUTED_VALUE"""),"C")</f>
        <v>C</v>
      </c>
      <c r="M147" s="103"/>
      <c r="N147" s="103"/>
      <c r="O147" s="103">
        <f ca="1">IFERROR(__xludf.DUMMYFUNCTION("""COMPUTED_VALUE"""),2)</f>
        <v>2</v>
      </c>
      <c r="P147" s="103">
        <f ca="1">IFERROR(__xludf.DUMMYFUNCTION("""COMPUTED_VALUE"""),0)</f>
        <v>0</v>
      </c>
      <c r="Q147" s="103">
        <f ca="1">IFERROR(__xludf.DUMMYFUNCTION("""COMPUTED_VALUE"""),1)</f>
        <v>1</v>
      </c>
      <c r="R147" s="103">
        <f ca="1">IFERROR(__xludf.DUMMYFUNCTION("""COMPUTED_VALUE"""),0)</f>
        <v>0</v>
      </c>
      <c r="S147" s="103" t="str">
        <f ca="1">IFERROR(__xludf.DUMMYFUNCTION("""COMPUTED_VALUE"""),"N")</f>
        <v>N</v>
      </c>
      <c r="T147" s="103">
        <f ca="1">IFERROR(__xludf.DUMMYFUNCTION("""COMPUTED_VALUE"""),1)</f>
        <v>1</v>
      </c>
      <c r="U147" s="103"/>
      <c r="V147" s="103"/>
      <c r="W147" s="103"/>
      <c r="X147" s="103"/>
      <c r="Y147" s="103"/>
      <c r="Z147" s="103"/>
      <c r="AA147" s="103"/>
      <c r="AB147" s="103"/>
      <c r="AC147" s="103"/>
      <c r="AD147" s="103">
        <f ca="1">IFERROR(__xludf.DUMMYFUNCTION("""COMPUTED_VALUE"""),96)</f>
        <v>96</v>
      </c>
      <c r="AE147" s="103">
        <f ca="1">IFERROR(__xludf.DUMMYFUNCTION("""COMPUTED_VALUE"""),28.5)</f>
        <v>28.5</v>
      </c>
      <c r="AF147" s="103">
        <f ca="1">IFERROR(__xludf.DUMMYFUNCTION("""COMPUTED_VALUE"""),300)</f>
        <v>300</v>
      </c>
      <c r="AG147" s="103">
        <f ca="1">IFERROR(__xludf.DUMMYFUNCTION("""COMPUTED_VALUE"""),7)</f>
        <v>7</v>
      </c>
      <c r="AH147" s="103">
        <f ca="1">IFERROR(__xludf.DUMMYFUNCTION("""COMPUTED_VALUE"""),3)</f>
        <v>3</v>
      </c>
      <c r="AI147" s="103">
        <f ca="1">IFERROR(__xludf.DUMMYFUNCTION("""COMPUTED_VALUE"""),1120)</f>
        <v>1120</v>
      </c>
      <c r="AJ147" s="103" t="str">
        <f ca="1">IFERROR(__xludf.DUMMYFUNCTION("""COMPUTED_VALUE"""),"MORS")</f>
        <v>MORS</v>
      </c>
      <c r="AK147" s="103">
        <f ca="1">IFERROR(__xludf.DUMMYFUNCTION("""COMPUTED_VALUE"""),8)</f>
        <v>8</v>
      </c>
      <c r="AL147" s="103"/>
      <c r="AM147" s="103"/>
      <c r="AN147" s="103"/>
      <c r="AO147" s="57" t="str">
        <f ca="1">IFERROR(__xludf.DUMMYFUNCTION("""COMPUTED_VALUE"""),"R")</f>
        <v>R</v>
      </c>
      <c r="AP147" s="103">
        <f ca="1">IFERROR(__xludf.DUMMYFUNCTION("""COMPUTED_VALUE"""),2)</f>
        <v>2</v>
      </c>
    </row>
    <row r="148" spans="1:42">
      <c r="A148" s="103">
        <f ca="1">IFERROR(__xludf.DUMMYFUNCTION("""COMPUTED_VALUE"""),1)</f>
        <v>1</v>
      </c>
      <c r="B148" s="103" t="str">
        <f ca="1">IFERROR(__xludf.DUMMYFUNCTION("""COMPUTED_VALUE"""),"JHT")</f>
        <v>JHT</v>
      </c>
      <c r="C148" s="103" t="str">
        <f ca="1">IFERROR(__xludf.DUMMYFUNCTION("""COMPUTED_VALUE"""),"N")</f>
        <v>N</v>
      </c>
      <c r="D148" s="103">
        <f ca="1">IFERROR(__xludf.DUMMYFUNCTION("""COMPUTED_VALUE"""),230196611)</f>
        <v>230196611</v>
      </c>
      <c r="E148" s="103" t="str">
        <f ca="1">IFERROR(__xludf.DUMMYFUNCTION("""COMPUTED_VALUE"""),"Spotted Towhee")</f>
        <v>Spotted Towhee</v>
      </c>
      <c r="F148" s="103" t="str">
        <f ca="1">IFERROR(__xludf.DUMMYFUNCTION("""COMPUTED_VALUE"""),"SPTO")</f>
        <v>SPTO</v>
      </c>
      <c r="G148" s="103">
        <f ca="1">IFERROR(__xludf.DUMMYFUNCTION("""COMPUTED_VALUE"""),1)</f>
        <v>1</v>
      </c>
      <c r="H148" s="103" t="str">
        <f ca="1">IFERROR(__xludf.DUMMYFUNCTION("""COMPUTED_VALUE"""),"S")</f>
        <v>S</v>
      </c>
      <c r="I148" s="103" t="str">
        <f ca="1">IFERROR(__xludf.DUMMYFUNCTION("""COMPUTED_VALUE"""),"P")</f>
        <v>P</v>
      </c>
      <c r="J148" s="103" t="str">
        <f ca="1">IFERROR(__xludf.DUMMYFUNCTION("""COMPUTED_VALUE"""),"UAJ")</f>
        <v>UAJ</v>
      </c>
      <c r="K148" s="103" t="str">
        <f ca="1">IFERROR(__xludf.DUMMYFUNCTION("""COMPUTED_VALUE"""),"F")</f>
        <v>F</v>
      </c>
      <c r="L148" s="103" t="str">
        <f ca="1">IFERROR(__xludf.DUMMYFUNCTION("""COMPUTED_VALUE"""),"B")</f>
        <v>B</v>
      </c>
      <c r="M148" s="103" t="str">
        <f ca="1">IFERROR(__xludf.DUMMYFUNCTION("""COMPUTED_VALUE"""),"P")</f>
        <v>P</v>
      </c>
      <c r="N148" s="103">
        <f ca="1">IFERROR(__xludf.DUMMYFUNCTION("""COMPUTED_VALUE"""),6)</f>
        <v>6</v>
      </c>
      <c r="O148" s="103">
        <f ca="1">IFERROR(__xludf.DUMMYFUNCTION("""COMPUTED_VALUE"""),0)</f>
        <v>0</v>
      </c>
      <c r="P148" s="103">
        <f ca="1">IFERROR(__xludf.DUMMYFUNCTION("""COMPUTED_VALUE"""),4)</f>
        <v>4</v>
      </c>
      <c r="Q148" s="103">
        <f ca="1">IFERROR(__xludf.DUMMYFUNCTION("""COMPUTED_VALUE"""),2)</f>
        <v>2</v>
      </c>
      <c r="R148" s="103">
        <f ca="1">IFERROR(__xludf.DUMMYFUNCTION("""COMPUTED_VALUE"""),0)</f>
        <v>0</v>
      </c>
      <c r="S148" s="103" t="str">
        <f ca="1">IFERROR(__xludf.DUMMYFUNCTION("""COMPUTED_VALUE"""),"N")</f>
        <v>N</v>
      </c>
      <c r="T148" s="103">
        <f ca="1">IFERROR(__xludf.DUMMYFUNCTION("""COMPUTED_VALUE"""),2)</f>
        <v>2</v>
      </c>
      <c r="U148" s="103"/>
      <c r="V148" s="103"/>
      <c r="W148" s="103"/>
      <c r="X148" s="103"/>
      <c r="Y148" s="103"/>
      <c r="Z148" s="103"/>
      <c r="AA148" s="103"/>
      <c r="AB148" s="103"/>
      <c r="AC148" s="103"/>
      <c r="AD148" s="103">
        <f ca="1">IFERROR(__xludf.DUMMYFUNCTION("""COMPUTED_VALUE"""),80)</f>
        <v>80</v>
      </c>
      <c r="AE148" s="103">
        <f ca="1">IFERROR(__xludf.DUMMYFUNCTION("""COMPUTED_VALUE"""),37.9)</f>
        <v>37.9</v>
      </c>
      <c r="AF148" s="103">
        <f ca="1">IFERROR(__xludf.DUMMYFUNCTION("""COMPUTED_VALUE"""),300)</f>
        <v>300</v>
      </c>
      <c r="AG148" s="103">
        <f ca="1">IFERROR(__xludf.DUMMYFUNCTION("""COMPUTED_VALUE"""),7)</f>
        <v>7</v>
      </c>
      <c r="AH148" s="103">
        <f ca="1">IFERROR(__xludf.DUMMYFUNCTION("""COMPUTED_VALUE"""),3)</f>
        <v>3</v>
      </c>
      <c r="AI148" s="103">
        <f ca="1">IFERROR(__xludf.DUMMYFUNCTION("""COMPUTED_VALUE"""),6)</f>
        <v>6</v>
      </c>
      <c r="AJ148" s="103" t="str">
        <f ca="1">IFERROR(__xludf.DUMMYFUNCTION("""COMPUTED_VALUE"""),"MORS")</f>
        <v>MORS</v>
      </c>
      <c r="AK148" s="103">
        <f ca="1">IFERROR(__xludf.DUMMYFUNCTION("""COMPUTED_VALUE"""),7)</f>
        <v>7</v>
      </c>
      <c r="AL148" s="103"/>
      <c r="AM148" s="103">
        <f ca="1">IFERROR(__xludf.DUMMYFUNCTION("""COMPUTED_VALUE"""),1)</f>
        <v>1</v>
      </c>
      <c r="AN148" s="103" t="str">
        <f ca="1">IFERROR(__xludf.DUMMYFUNCTION("""COMPUTED_VALUE"""),"White on R6 = 19, R5 = 13, R4 = 0. Eye color dark red")</f>
        <v>White on R6 = 19, R5 = 13, R4 = 0. Eye color dark red</v>
      </c>
      <c r="AO148" s="57" t="str">
        <f ca="1">IFERROR(__xludf.DUMMYFUNCTION("""COMPUTED_VALUE"""),"1A")</f>
        <v>1A</v>
      </c>
      <c r="AP148" s="103">
        <f ca="1">IFERROR(__xludf.DUMMYFUNCTION("""COMPUTED_VALUE"""),3)</f>
        <v>3</v>
      </c>
    </row>
    <row r="149" spans="1:42">
      <c r="A149" s="103">
        <f ca="1">IFERROR(__xludf.DUMMYFUNCTION("""COMPUTED_VALUE"""),2)</f>
        <v>2</v>
      </c>
      <c r="B149" s="103" t="str">
        <f ca="1">IFERROR(__xludf.DUMMYFUNCTION("""COMPUTED_VALUE"""),"JHT")</f>
        <v>JHT</v>
      </c>
      <c r="C149" s="103" t="str">
        <f ca="1">IFERROR(__xludf.DUMMYFUNCTION("""COMPUTED_VALUE"""),"R")</f>
        <v>R</v>
      </c>
      <c r="D149" s="103">
        <f ca="1">IFERROR(__xludf.DUMMYFUNCTION("""COMPUTED_VALUE"""),283105241)</f>
        <v>283105241</v>
      </c>
      <c r="E149" s="103" t="str">
        <f ca="1">IFERROR(__xludf.DUMMYFUNCTION("""COMPUTED_VALUE"""),"Swainson's Thrush")</f>
        <v>Swainson's Thrush</v>
      </c>
      <c r="F149" s="103" t="str">
        <f ca="1">IFERROR(__xludf.DUMMYFUNCTION("""COMPUTED_VALUE"""),"SWTH")</f>
        <v>SWTH</v>
      </c>
      <c r="G149" s="103">
        <f ca="1">IFERROR(__xludf.DUMMYFUNCTION("""COMPUTED_VALUE"""),1)</f>
        <v>1</v>
      </c>
      <c r="H149" s="103" t="str">
        <f ca="1">IFERROR(__xludf.DUMMYFUNCTION("""COMPUTED_VALUE"""),"S")</f>
        <v>S</v>
      </c>
      <c r="I149" s="103" t="str">
        <f ca="1">IFERROR(__xludf.DUMMYFUNCTION("""COMPUTED_VALUE"""),"C")</f>
        <v>C</v>
      </c>
      <c r="J149" s="103" t="str">
        <f ca="1">IFERROR(__xludf.DUMMYFUNCTION("""COMPUTED_VALUE"""),"UAJ")</f>
        <v>UAJ</v>
      </c>
      <c r="K149" s="103" t="str">
        <f ca="1">IFERROR(__xludf.DUMMYFUNCTION("""COMPUTED_VALUE"""),"M")</f>
        <v>M</v>
      </c>
      <c r="L149" s="103" t="str">
        <f ca="1">IFERROR(__xludf.DUMMYFUNCTION("""COMPUTED_VALUE"""),"C")</f>
        <v>C</v>
      </c>
      <c r="M149" s="103" t="str">
        <f ca="1">IFERROR(__xludf.DUMMYFUNCTION("""COMPUTED_VALUE"""),"P")</f>
        <v>P</v>
      </c>
      <c r="N149" s="103">
        <f ca="1">IFERROR(__xludf.DUMMYFUNCTION("""COMPUTED_VALUE"""),5)</f>
        <v>5</v>
      </c>
      <c r="O149" s="103">
        <f ca="1">IFERROR(__xludf.DUMMYFUNCTION("""COMPUTED_VALUE"""),3)</f>
        <v>3</v>
      </c>
      <c r="P149" s="103">
        <f ca="1">IFERROR(__xludf.DUMMYFUNCTION("""COMPUTED_VALUE"""),0)</f>
        <v>0</v>
      </c>
      <c r="Q149" s="103">
        <f ca="1">IFERROR(__xludf.DUMMYFUNCTION("""COMPUTED_VALUE"""),0)</f>
        <v>0</v>
      </c>
      <c r="R149" s="103">
        <f ca="1">IFERROR(__xludf.DUMMYFUNCTION("""COMPUTED_VALUE"""),0)</f>
        <v>0</v>
      </c>
      <c r="S149" s="103" t="str">
        <f ca="1">IFERROR(__xludf.DUMMYFUNCTION("""COMPUTED_VALUE"""),"N")</f>
        <v>N</v>
      </c>
      <c r="T149" s="103">
        <f ca="1">IFERROR(__xludf.DUMMYFUNCTION("""COMPUTED_VALUE"""),1)</f>
        <v>1</v>
      </c>
      <c r="U149" s="103"/>
      <c r="V149" s="103"/>
      <c r="W149" s="103"/>
      <c r="X149" s="103"/>
      <c r="Y149" s="103"/>
      <c r="Z149" s="103"/>
      <c r="AA149" s="103"/>
      <c r="AB149" s="103"/>
      <c r="AC149" s="103"/>
      <c r="AD149" s="103">
        <f ca="1">IFERROR(__xludf.DUMMYFUNCTION("""COMPUTED_VALUE"""),93)</f>
        <v>93</v>
      </c>
      <c r="AE149" s="103">
        <f ca="1">IFERROR(__xludf.DUMMYFUNCTION("""COMPUTED_VALUE"""),28.6)</f>
        <v>28.6</v>
      </c>
      <c r="AF149" s="103">
        <f ca="1">IFERROR(__xludf.DUMMYFUNCTION("""COMPUTED_VALUE"""),300)</f>
        <v>300</v>
      </c>
      <c r="AG149" s="103">
        <f ca="1">IFERROR(__xludf.DUMMYFUNCTION("""COMPUTED_VALUE"""),7)</f>
        <v>7</v>
      </c>
      <c r="AH149" s="103">
        <f ca="1">IFERROR(__xludf.DUMMYFUNCTION("""COMPUTED_VALUE"""),3)</f>
        <v>3</v>
      </c>
      <c r="AI149" s="103">
        <f ca="1">IFERROR(__xludf.DUMMYFUNCTION("""COMPUTED_VALUE"""),6)</f>
        <v>6</v>
      </c>
      <c r="AJ149" s="103" t="str">
        <f ca="1">IFERROR(__xludf.DUMMYFUNCTION("""COMPUTED_VALUE"""),"MORS")</f>
        <v>MORS</v>
      </c>
      <c r="AK149" s="103">
        <f ca="1">IFERROR(__xludf.DUMMYFUNCTION("""COMPUTED_VALUE"""),7)</f>
        <v>7</v>
      </c>
      <c r="AL149" s="103"/>
      <c r="AM149" s="103"/>
      <c r="AN149" s="103"/>
      <c r="AO149" s="57" t="str">
        <f ca="1">IFERROR(__xludf.DUMMYFUNCTION("""COMPUTED_VALUE"""),"R")</f>
        <v>R</v>
      </c>
      <c r="AP149" s="103">
        <f ca="1">IFERROR(__xludf.DUMMYFUNCTION("""COMPUTED_VALUE"""),3)</f>
        <v>3</v>
      </c>
    </row>
    <row r="150" spans="1:42">
      <c r="A150" s="103">
        <f ca="1">IFERROR(__xludf.DUMMYFUNCTION("""COMPUTED_VALUE"""),3)</f>
        <v>3</v>
      </c>
      <c r="B150" s="103" t="str">
        <f ca="1">IFERROR(__xludf.DUMMYFUNCTION("""COMPUTED_VALUE"""),"JHT")</f>
        <v>JHT</v>
      </c>
      <c r="C150" s="103" t="str">
        <f ca="1">IFERROR(__xludf.DUMMYFUNCTION("""COMPUTED_VALUE"""),"U")</f>
        <v>U</v>
      </c>
      <c r="D150" s="103"/>
      <c r="E150" s="103" t="str">
        <f ca="1">IFERROR(__xludf.DUMMYFUNCTION("""COMPUTED_VALUE"""),"Rufus Hummingbird")</f>
        <v>Rufus Hummingbird</v>
      </c>
      <c r="F150" s="103" t="str">
        <f ca="1">IFERROR(__xludf.DUMMYFUNCTION("""COMPUTED_VALUE"""),"RUHU")</f>
        <v>RUHU</v>
      </c>
      <c r="G150" s="103">
        <f ca="1">IFERROR(__xludf.DUMMYFUNCTION("""COMPUTED_VALUE"""),2)</f>
        <v>2</v>
      </c>
      <c r="H150" s="103" t="str">
        <f ca="1">IFERROR(__xludf.DUMMYFUNCTION("""COMPUTED_VALUE"""),"I")</f>
        <v>I</v>
      </c>
      <c r="I150" s="103" t="str">
        <f ca="1">IFERROR(__xludf.DUMMYFUNCTION("""COMPUTED_VALUE"""),"P")</f>
        <v>P</v>
      </c>
      <c r="J150" s="103" t="str">
        <f ca="1">IFERROR(__xludf.DUMMYFUNCTION("""COMPUTED_VALUE"""),"FCJ")</f>
        <v>FCJ</v>
      </c>
      <c r="K150" s="103" t="str">
        <f ca="1">IFERROR(__xludf.DUMMYFUNCTION("""COMPUTED_VALUE"""),"M")</f>
        <v>M</v>
      </c>
      <c r="L150" s="103" t="str">
        <f ca="1">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 ca="1">IFERROR(__xludf.DUMMYFUNCTION("""COMPUTED_VALUE"""),7)</f>
        <v>7</v>
      </c>
      <c r="AH150" s="103">
        <f ca="1">IFERROR(__xludf.DUMMYFUNCTION("""COMPUTED_VALUE"""),3)</f>
        <v>3</v>
      </c>
      <c r="AI150" s="103">
        <f ca="1">IFERROR(__xludf.DUMMYFUNCTION("""COMPUTED_VALUE"""),6)</f>
        <v>6</v>
      </c>
      <c r="AJ150" s="103" t="str">
        <f ca="1">IFERROR(__xludf.DUMMYFUNCTION("""COMPUTED_VALUE"""),"MORS")</f>
        <v>MORS</v>
      </c>
      <c r="AK150" s="103">
        <f ca="1">IFERROR(__xludf.DUMMYFUNCTION("""COMPUTED_VALUE"""),21)</f>
        <v>21</v>
      </c>
      <c r="AL150" s="103"/>
      <c r="AM150" s="103"/>
      <c r="AN150" s="103"/>
      <c r="AO150" s="57" t="str">
        <f ca="1">IFERROR(__xludf.DUMMYFUNCTION("""COMPUTED_VALUE"""),"U")</f>
        <v>U</v>
      </c>
      <c r="AP150" s="103">
        <f ca="1">IFERROR(__xludf.DUMMYFUNCTION("""COMPUTED_VALUE"""),3)</f>
        <v>3</v>
      </c>
    </row>
    <row r="151" spans="1:42">
      <c r="A151" s="103">
        <f ca="1">IFERROR(__xludf.DUMMYFUNCTION("""COMPUTED_VALUE"""),4)</f>
        <v>4</v>
      </c>
      <c r="B151" s="103" t="str">
        <f ca="1">IFERROR(__xludf.DUMMYFUNCTION("""COMPUTED_VALUE"""),"JHT")</f>
        <v>JHT</v>
      </c>
      <c r="C151" s="103" t="str">
        <f ca="1">IFERROR(__xludf.DUMMYFUNCTION("""COMPUTED_VALUE"""),"R")</f>
        <v>R</v>
      </c>
      <c r="D151" s="103">
        <f ca="1">IFERROR(__xludf.DUMMYFUNCTION("""COMPUTED_VALUE"""),283105233)</f>
        <v>283105233</v>
      </c>
      <c r="E151" s="103" t="str">
        <f ca="1">IFERROR(__xludf.DUMMYFUNCTION("""COMPUTED_VALUE"""),"Song Sparrow")</f>
        <v>Song Sparrow</v>
      </c>
      <c r="F151" s="103" t="str">
        <f ca="1">IFERROR(__xludf.DUMMYFUNCTION("""COMPUTED_VALUE"""),"SOSP")</f>
        <v>SOSP</v>
      </c>
      <c r="G151" s="103">
        <f ca="1">IFERROR(__xludf.DUMMYFUNCTION("""COMPUTED_VALUE"""),1)</f>
        <v>1</v>
      </c>
      <c r="H151" s="103" t="str">
        <f ca="1">IFERROR(__xludf.DUMMYFUNCTION("""COMPUTED_VALUE"""),"S")</f>
        <v>S</v>
      </c>
      <c r="I151" s="103" t="str">
        <f ca="1">IFERROR(__xludf.DUMMYFUNCTION("""COMPUTED_VALUE"""),"C")</f>
        <v>C</v>
      </c>
      <c r="J151" s="103" t="str">
        <f ca="1">IFERROR(__xludf.DUMMYFUNCTION("""COMPUTED_VALUE"""),"UAJ")</f>
        <v>UAJ</v>
      </c>
      <c r="K151" s="103" t="str">
        <f ca="1">IFERROR(__xludf.DUMMYFUNCTION("""COMPUTED_VALUE"""),"M")</f>
        <v>M</v>
      </c>
      <c r="L151" s="103" t="str">
        <f ca="1">IFERROR(__xludf.DUMMYFUNCTION("""COMPUTED_VALUE"""),"C")</f>
        <v>C</v>
      </c>
      <c r="M151" s="103" t="str">
        <f ca="1">IFERROR(__xludf.DUMMYFUNCTION("""COMPUTED_VALUE"""),"P")</f>
        <v>P</v>
      </c>
      <c r="N151" s="103">
        <f ca="1">IFERROR(__xludf.DUMMYFUNCTION("""COMPUTED_VALUE"""),5)</f>
        <v>5</v>
      </c>
      <c r="O151" s="103">
        <f ca="1">IFERROR(__xludf.DUMMYFUNCTION("""COMPUTED_VALUE"""),3)</f>
        <v>3</v>
      </c>
      <c r="P151" s="103">
        <f ca="1">IFERROR(__xludf.DUMMYFUNCTION("""COMPUTED_VALUE"""),0)</f>
        <v>0</v>
      </c>
      <c r="Q151" s="103">
        <f ca="1">IFERROR(__xludf.DUMMYFUNCTION("""COMPUTED_VALUE"""),0)</f>
        <v>0</v>
      </c>
      <c r="R151" s="103">
        <f ca="1">IFERROR(__xludf.DUMMYFUNCTION("""COMPUTED_VALUE"""),0)</f>
        <v>0</v>
      </c>
      <c r="S151" s="103" t="str">
        <f ca="1">IFERROR(__xludf.DUMMYFUNCTION("""COMPUTED_VALUE"""),"N")</f>
        <v>N</v>
      </c>
      <c r="T151" s="103">
        <f ca="1">IFERROR(__xludf.DUMMYFUNCTION("""COMPUTED_VALUE"""),3)</f>
        <v>3</v>
      </c>
      <c r="U151" s="103"/>
      <c r="V151" s="103"/>
      <c r="W151" s="103"/>
      <c r="X151" s="103"/>
      <c r="Y151" s="103"/>
      <c r="Z151" s="103"/>
      <c r="AA151" s="103"/>
      <c r="AB151" s="103"/>
      <c r="AC151" s="103"/>
      <c r="AD151" s="103">
        <f ca="1">IFERROR(__xludf.DUMMYFUNCTION("""COMPUTED_VALUE"""),64)</f>
        <v>64</v>
      </c>
      <c r="AE151" s="103">
        <f ca="1">IFERROR(__xludf.DUMMYFUNCTION("""COMPUTED_VALUE"""),23.8)</f>
        <v>23.8</v>
      </c>
      <c r="AF151" s="103">
        <f ca="1">IFERROR(__xludf.DUMMYFUNCTION("""COMPUTED_VALUE"""),300)</f>
        <v>300</v>
      </c>
      <c r="AG151" s="103">
        <f ca="1">IFERROR(__xludf.DUMMYFUNCTION("""COMPUTED_VALUE"""),7)</f>
        <v>7</v>
      </c>
      <c r="AH151" s="103">
        <f ca="1">IFERROR(__xludf.DUMMYFUNCTION("""COMPUTED_VALUE"""),3)</f>
        <v>3</v>
      </c>
      <c r="AI151" s="103">
        <f ca="1">IFERROR(__xludf.DUMMYFUNCTION("""COMPUTED_VALUE"""),630)</f>
        <v>630</v>
      </c>
      <c r="AJ151" s="103" t="str">
        <f ca="1">IFERROR(__xludf.DUMMYFUNCTION("""COMPUTED_VALUE"""),"MORS")</f>
        <v>MORS</v>
      </c>
      <c r="AK151" s="103">
        <f ca="1">IFERROR(__xludf.DUMMYFUNCTION("""COMPUTED_VALUE"""),15)</f>
        <v>15</v>
      </c>
      <c r="AL151" s="103"/>
      <c r="AM151" s="103"/>
      <c r="AN151" s="103"/>
      <c r="AO151" s="57" t="str">
        <f ca="1">IFERROR(__xludf.DUMMYFUNCTION("""COMPUTED_VALUE"""),"R")</f>
        <v>R</v>
      </c>
      <c r="AP151" s="103">
        <f ca="1">IFERROR(__xludf.DUMMYFUNCTION("""COMPUTED_VALUE"""),3)</f>
        <v>3</v>
      </c>
    </row>
    <row r="152" spans="1:42">
      <c r="A152" s="103">
        <f ca="1">IFERROR(__xludf.DUMMYFUNCTION("""COMPUTED_VALUE"""),5)</f>
        <v>5</v>
      </c>
      <c r="B152" s="103" t="str">
        <f ca="1">IFERROR(__xludf.DUMMYFUNCTION("""COMPUTED_VALUE"""),"JHT")</f>
        <v>JHT</v>
      </c>
      <c r="C152" s="103" t="str">
        <f ca="1">IFERROR(__xludf.DUMMYFUNCTION("""COMPUTED_VALUE"""),"N")</f>
        <v>N</v>
      </c>
      <c r="D152" s="103">
        <f ca="1">IFERROR(__xludf.DUMMYFUNCTION("""COMPUTED_VALUE"""),288029958)</f>
        <v>288029958</v>
      </c>
      <c r="E152" s="103" t="str">
        <f ca="1">IFERROR(__xludf.DUMMYFUNCTION("""COMPUTED_VALUE"""),"Black-capped Chickadee")</f>
        <v>Black-capped Chickadee</v>
      </c>
      <c r="F152" s="103" t="str">
        <f ca="1">IFERROR(__xludf.DUMMYFUNCTION("""COMPUTED_VALUE"""),"BCCH")</f>
        <v>BCCH</v>
      </c>
      <c r="G152" s="103">
        <f ca="1">IFERROR(__xludf.DUMMYFUNCTION("""COMPUTED_VALUE"""),2)</f>
        <v>2</v>
      </c>
      <c r="H152" s="103" t="str">
        <f ca="1">IFERROR(__xludf.DUMMYFUNCTION("""COMPUTED_VALUE"""),"P")</f>
        <v>P</v>
      </c>
      <c r="I152" s="103"/>
      <c r="J152" s="103" t="str">
        <f ca="1">IFERROR(__xludf.DUMMYFUNCTION("""COMPUTED_VALUE"""),"FPB")</f>
        <v>FPB</v>
      </c>
      <c r="K152" s="103" t="str">
        <f ca="1">IFERROR(__xludf.DUMMYFUNCTION("""COMPUTED_VALUE"""),"U")</f>
        <v>U</v>
      </c>
      <c r="L152" s="103"/>
      <c r="M152" s="103"/>
      <c r="N152" s="103">
        <f ca="1">IFERROR(__xludf.DUMMYFUNCTION("""COMPUTED_VALUE"""),6)</f>
        <v>6</v>
      </c>
      <c r="O152" s="103">
        <f ca="1">IFERROR(__xludf.DUMMYFUNCTION("""COMPUTED_VALUE"""),0)</f>
        <v>0</v>
      </c>
      <c r="P152" s="103">
        <f ca="1">IFERROR(__xludf.DUMMYFUNCTION("""COMPUTED_VALUE"""),0)</f>
        <v>0</v>
      </c>
      <c r="Q152" s="103">
        <f ca="1">IFERROR(__xludf.DUMMYFUNCTION("""COMPUTED_VALUE"""),1)</f>
        <v>1</v>
      </c>
      <c r="R152" s="103">
        <f ca="1">IFERROR(__xludf.DUMMYFUNCTION("""COMPUTED_VALUE"""),0)</f>
        <v>0</v>
      </c>
      <c r="S152" s="103" t="str">
        <f ca="1">IFERROR(__xludf.DUMMYFUNCTION("""COMPUTED_VALUE"""),"S")</f>
        <v>S</v>
      </c>
      <c r="T152" s="103">
        <f ca="1">IFERROR(__xludf.DUMMYFUNCTION("""COMPUTED_VALUE"""),2)</f>
        <v>2</v>
      </c>
      <c r="U152" s="103"/>
      <c r="V152" s="103"/>
      <c r="W152" s="103"/>
      <c r="X152" s="103"/>
      <c r="Y152" s="103"/>
      <c r="Z152" s="103"/>
      <c r="AA152" s="103"/>
      <c r="AB152" s="103"/>
      <c r="AC152" s="103"/>
      <c r="AD152" s="103">
        <f ca="1">IFERROR(__xludf.DUMMYFUNCTION("""COMPUTED_VALUE"""),61)</f>
        <v>61</v>
      </c>
      <c r="AE152" s="103">
        <f ca="1">IFERROR(__xludf.DUMMYFUNCTION("""COMPUTED_VALUE"""),10.5)</f>
        <v>10.5</v>
      </c>
      <c r="AF152" s="103">
        <f ca="1">IFERROR(__xludf.DUMMYFUNCTION("""COMPUTED_VALUE"""),300)</f>
        <v>300</v>
      </c>
      <c r="AG152" s="103">
        <f ca="1">IFERROR(__xludf.DUMMYFUNCTION("""COMPUTED_VALUE"""),7)</f>
        <v>7</v>
      </c>
      <c r="AH152" s="103">
        <f ca="1">IFERROR(__xludf.DUMMYFUNCTION("""COMPUTED_VALUE"""),3)</f>
        <v>3</v>
      </c>
      <c r="AI152" s="103">
        <f ca="1">IFERROR(__xludf.DUMMYFUNCTION("""COMPUTED_VALUE"""),710)</f>
        <v>710</v>
      </c>
      <c r="AJ152" s="103" t="str">
        <f ca="1">IFERROR(__xludf.DUMMYFUNCTION("""COMPUTED_VALUE"""),"MORS")</f>
        <v>MORS</v>
      </c>
      <c r="AK152" s="103">
        <f ca="1">IFERROR(__xludf.DUMMYFUNCTION("""COMPUTED_VALUE"""),9)</f>
        <v>9</v>
      </c>
      <c r="AL152" s="103"/>
      <c r="AM152" s="103">
        <f ca="1">IFERROR(__xludf.DUMMYFUNCTION("""COMPUTED_VALUE"""),2)</f>
        <v>2</v>
      </c>
      <c r="AN152" s="103" t="str">
        <f ca="1">IFERROR(__xludf.DUMMYFUNCTION("""COMPUTED_VALUE"""),"P3 in pin 45%")</f>
        <v>P3 in pin 45%</v>
      </c>
      <c r="AO152" s="57">
        <f ca="1">IFERROR(__xludf.DUMMYFUNCTION("""COMPUTED_VALUE"""),0)</f>
        <v>0</v>
      </c>
      <c r="AP152" s="103">
        <f ca="1">IFERROR(__xludf.DUMMYFUNCTION("""COMPUTED_VALUE"""),3)</f>
        <v>3</v>
      </c>
    </row>
    <row r="153" spans="1:42">
      <c r="A153" s="103">
        <f ca="1">IFERROR(__xludf.DUMMYFUNCTION("""COMPUTED_VALUE"""),6)</f>
        <v>6</v>
      </c>
      <c r="B153" s="103" t="str">
        <f ca="1">IFERROR(__xludf.DUMMYFUNCTION("""COMPUTED_VALUE"""),"JHT")</f>
        <v>JHT</v>
      </c>
      <c r="C153" s="103" t="str">
        <f ca="1">IFERROR(__xludf.DUMMYFUNCTION("""COMPUTED_VALUE"""),"R")</f>
        <v>R</v>
      </c>
      <c r="D153" s="103">
        <f ca="1">IFERROR(__xludf.DUMMYFUNCTION("""COMPUTED_VALUE"""),178168889)</f>
        <v>178168889</v>
      </c>
      <c r="E153" s="103" t="str">
        <f ca="1">IFERROR(__xludf.DUMMYFUNCTION("""COMPUTED_VALUE"""),"Spotted Towhee")</f>
        <v>Spotted Towhee</v>
      </c>
      <c r="F153" s="103" t="str">
        <f ca="1">IFERROR(__xludf.DUMMYFUNCTION("""COMPUTED_VALUE"""),"SPTO")</f>
        <v>SPTO</v>
      </c>
      <c r="G153" s="103">
        <f ca="1">IFERROR(__xludf.DUMMYFUNCTION("""COMPUTED_VALUE"""),1)</f>
        <v>1</v>
      </c>
      <c r="H153" s="103" t="str">
        <f ca="1">IFERROR(__xludf.DUMMYFUNCTION("""COMPUTED_VALUE"""),"S")</f>
        <v>S</v>
      </c>
      <c r="I153" s="103" t="str">
        <f ca="1">IFERROR(__xludf.DUMMYFUNCTION("""COMPUTED_VALUE"""),"C")</f>
        <v>C</v>
      </c>
      <c r="J153" s="103" t="str">
        <f ca="1">IFERROR(__xludf.DUMMYFUNCTION("""COMPUTED_VALUE"""),"UAJ")</f>
        <v>UAJ</v>
      </c>
      <c r="K153" s="103" t="str">
        <f ca="1">IFERROR(__xludf.DUMMYFUNCTION("""COMPUTED_VALUE"""),"M")</f>
        <v>M</v>
      </c>
      <c r="L153" s="103" t="str">
        <f ca="1">IFERROR(__xludf.DUMMYFUNCTION("""COMPUTED_VALUE"""),"C")</f>
        <v>C</v>
      </c>
      <c r="M153" s="103" t="str">
        <f ca="1">IFERROR(__xludf.DUMMYFUNCTION("""COMPUTED_VALUE"""),"P")</f>
        <v>P</v>
      </c>
      <c r="N153" s="103">
        <f ca="1">IFERROR(__xludf.DUMMYFUNCTION("""COMPUTED_VALUE"""),6)</f>
        <v>6</v>
      </c>
      <c r="O153" s="103">
        <f ca="1">IFERROR(__xludf.DUMMYFUNCTION("""COMPUTED_VALUE"""),3)</f>
        <v>3</v>
      </c>
      <c r="P153" s="103">
        <f ca="1">IFERROR(__xludf.DUMMYFUNCTION("""COMPUTED_VALUE"""),0)</f>
        <v>0</v>
      </c>
      <c r="Q153" s="103">
        <f ca="1">IFERROR(__xludf.DUMMYFUNCTION("""COMPUTED_VALUE"""),1)</f>
        <v>1</v>
      </c>
      <c r="R153" s="103">
        <f ca="1">IFERROR(__xludf.DUMMYFUNCTION("""COMPUTED_VALUE"""),1)</f>
        <v>1</v>
      </c>
      <c r="S153" s="103" t="str">
        <f ca="1">IFERROR(__xludf.DUMMYFUNCTION("""COMPUTED_VALUE"""),"A")</f>
        <v>A</v>
      </c>
      <c r="T153" s="103">
        <f ca="1">IFERROR(__xludf.DUMMYFUNCTION("""COMPUTED_VALUE"""),3)</f>
        <v>3</v>
      </c>
      <c r="U153" s="103"/>
      <c r="V153" s="103"/>
      <c r="W153" s="103"/>
      <c r="X153" s="103"/>
      <c r="Y153" s="103"/>
      <c r="Z153" s="103"/>
      <c r="AA153" s="103"/>
      <c r="AB153" s="103"/>
      <c r="AC153" s="103"/>
      <c r="AD153" s="103">
        <f ca="1">IFERROR(__xludf.DUMMYFUNCTION("""COMPUTED_VALUE"""),84)</f>
        <v>84</v>
      </c>
      <c r="AE153" s="103">
        <f ca="1">IFERROR(__xludf.DUMMYFUNCTION("""COMPUTED_VALUE"""),37.6)</f>
        <v>37.6</v>
      </c>
      <c r="AF153" s="103">
        <f ca="1">IFERROR(__xludf.DUMMYFUNCTION("""COMPUTED_VALUE"""),300)</f>
        <v>300</v>
      </c>
      <c r="AG153" s="103">
        <f ca="1">IFERROR(__xludf.DUMMYFUNCTION("""COMPUTED_VALUE"""),7)</f>
        <v>7</v>
      </c>
      <c r="AH153" s="103">
        <f ca="1">IFERROR(__xludf.DUMMYFUNCTION("""COMPUTED_VALUE"""),3)</f>
        <v>3</v>
      </c>
      <c r="AI153" s="103">
        <f ca="1">IFERROR(__xludf.DUMMYFUNCTION("""COMPUTED_VALUE"""),740)</f>
        <v>740</v>
      </c>
      <c r="AJ153" s="103" t="str">
        <f ca="1">IFERROR(__xludf.DUMMYFUNCTION("""COMPUTED_VALUE"""),"MORS")</f>
        <v>MORS</v>
      </c>
      <c r="AK153" s="103">
        <f ca="1">IFERROR(__xludf.DUMMYFUNCTION("""COMPUTED_VALUE"""),7)</f>
        <v>7</v>
      </c>
      <c r="AL153" s="103"/>
      <c r="AM153" s="103">
        <f ca="1">IFERROR(__xludf.DUMMYFUNCTION("""COMPUTED_VALUE"""),3)</f>
        <v>3</v>
      </c>
      <c r="AN153" s="103" t="str">
        <f ca="1">IFERROR(__xludf.DUMMYFUNCTION("""COMPUTED_VALUE"""),"White on R6 = 19, R5 = 17, R4 = 6. Eye color dark red. Replaced RP9 = 70%.")</f>
        <v>White on R6 = 19, R5 = 17, R4 = 6. Eye color dark red. Replaced RP9 = 70%.</v>
      </c>
      <c r="AO153" s="57" t="str">
        <f ca="1">IFERROR(__xludf.DUMMYFUNCTION("""COMPUTED_VALUE"""),"R")</f>
        <v>R</v>
      </c>
      <c r="AP153" s="103">
        <f ca="1">IFERROR(__xludf.DUMMYFUNCTION("""COMPUTED_VALUE"""),3)</f>
        <v>3</v>
      </c>
    </row>
    <row r="154" spans="1:42">
      <c r="A154" s="103">
        <f ca="1">IFERROR(__xludf.DUMMYFUNCTION("""COMPUTED_VALUE"""),7)</f>
        <v>7</v>
      </c>
      <c r="B154" s="103" t="str">
        <f ca="1">IFERROR(__xludf.DUMMYFUNCTION("""COMPUTED_VALUE"""),"JHT")</f>
        <v>JHT</v>
      </c>
      <c r="C154" s="103" t="str">
        <f ca="1">IFERROR(__xludf.DUMMYFUNCTION("""COMPUTED_VALUE"""),"R")</f>
        <v>R</v>
      </c>
      <c r="D154" s="103">
        <f ca="1">IFERROR(__xludf.DUMMYFUNCTION("""COMPUTED_VALUE"""),288029958)</f>
        <v>288029958</v>
      </c>
      <c r="E154" s="103" t="str">
        <f ca="1">IFERROR(__xludf.DUMMYFUNCTION("""COMPUTED_VALUE"""),"Black-capped Chickadee")</f>
        <v>Black-capped Chickadee</v>
      </c>
      <c r="F154" s="103" t="str">
        <f ca="1">IFERROR(__xludf.DUMMYFUNCTION("""COMPUTED_VALUE"""),"BCCH")</f>
        <v>BCCH</v>
      </c>
      <c r="G154" s="103">
        <f ca="1">IFERROR(__xludf.DUMMYFUNCTION("""COMPUTED_VALUE"""),2)</f>
        <v>2</v>
      </c>
      <c r="H154" s="103" t="str">
        <f ca="1">IFERROR(__xludf.DUMMYFUNCTION("""COMPUTED_VALUE"""),"P")</f>
        <v>P</v>
      </c>
      <c r="I154" s="103"/>
      <c r="J154" s="103" t="str">
        <f ca="1">IFERROR(__xludf.DUMMYFUNCTION("""COMPUTED_VALUE"""),"FPB")</f>
        <v>FPB</v>
      </c>
      <c r="K154" s="103" t="str">
        <f ca="1">IFERROR(__xludf.DUMMYFUNCTION("""COMPUTED_VALUE"""),"U")</f>
        <v>U</v>
      </c>
      <c r="L154" s="103"/>
      <c r="M154" s="103"/>
      <c r="N154" s="103">
        <f ca="1">IFERROR(__xludf.DUMMYFUNCTION("""COMPUTED_VALUE"""),6)</f>
        <v>6</v>
      </c>
      <c r="O154" s="103">
        <f ca="1">IFERROR(__xludf.DUMMYFUNCTION("""COMPUTED_VALUE"""),0)</f>
        <v>0</v>
      </c>
      <c r="P154" s="103">
        <f ca="1">IFERROR(__xludf.DUMMYFUNCTION("""COMPUTED_VALUE"""),0)</f>
        <v>0</v>
      </c>
      <c r="Q154" s="103">
        <f ca="1">IFERROR(__xludf.DUMMYFUNCTION("""COMPUTED_VALUE"""),1)</f>
        <v>1</v>
      </c>
      <c r="R154" s="103">
        <f ca="1">IFERROR(__xludf.DUMMYFUNCTION("""COMPUTED_VALUE"""),0)</f>
        <v>0</v>
      </c>
      <c r="S154" s="103" t="str">
        <f ca="1">IFERROR(__xludf.DUMMYFUNCTION("""COMPUTED_VALUE"""),"S")</f>
        <v>S</v>
      </c>
      <c r="T154" s="103">
        <f ca="1">IFERROR(__xludf.DUMMYFUNCTION("""COMPUTED_VALUE"""),2)</f>
        <v>2</v>
      </c>
      <c r="U154" s="103"/>
      <c r="V154" s="103"/>
      <c r="W154" s="103"/>
      <c r="X154" s="103"/>
      <c r="Y154" s="103"/>
      <c r="Z154" s="103"/>
      <c r="AA154" s="103"/>
      <c r="AB154" s="103"/>
      <c r="AC154" s="103"/>
      <c r="AD154" s="103">
        <f ca="1">IFERROR(__xludf.DUMMYFUNCTION("""COMPUTED_VALUE"""),61)</f>
        <v>61</v>
      </c>
      <c r="AE154" s="103">
        <f ca="1">IFERROR(__xludf.DUMMYFUNCTION("""COMPUTED_VALUE"""),10.6)</f>
        <v>10.6</v>
      </c>
      <c r="AF154" s="103">
        <f ca="1">IFERROR(__xludf.DUMMYFUNCTION("""COMPUTED_VALUE"""),300)</f>
        <v>300</v>
      </c>
      <c r="AG154" s="103">
        <f ca="1">IFERROR(__xludf.DUMMYFUNCTION("""COMPUTED_VALUE"""),7)</f>
        <v>7</v>
      </c>
      <c r="AH154" s="103">
        <f ca="1">IFERROR(__xludf.DUMMYFUNCTION("""COMPUTED_VALUE"""),3)</f>
        <v>3</v>
      </c>
      <c r="AI154" s="103">
        <f ca="1">IFERROR(__xludf.DUMMYFUNCTION("""COMPUTED_VALUE"""),9)</f>
        <v>9</v>
      </c>
      <c r="AJ154" s="103" t="str">
        <f ca="1">IFERROR(__xludf.DUMMYFUNCTION("""COMPUTED_VALUE"""),"MORS")</f>
        <v>MORS</v>
      </c>
      <c r="AK154" s="103">
        <f ca="1">IFERROR(__xludf.DUMMYFUNCTION("""COMPUTED_VALUE"""),9)</f>
        <v>9</v>
      </c>
      <c r="AL154" s="103"/>
      <c r="AM154" s="103">
        <f ca="1">IFERROR(__xludf.DUMMYFUNCTION("""COMPUTED_VALUE"""),4)</f>
        <v>4</v>
      </c>
      <c r="AN154" s="103" t="str">
        <f ca="1">IFERROR(__xludf.DUMMYFUNCTION("""COMPUTED_VALUE"""),"Banded earlier that same morning, no real changes.")</f>
        <v>Banded earlier that same morning, no real changes.</v>
      </c>
      <c r="AO154" s="57" t="str">
        <f ca="1">IFERROR(__xludf.DUMMYFUNCTION("""COMPUTED_VALUE"""),"R")</f>
        <v>R</v>
      </c>
      <c r="AP154" s="103">
        <f ca="1">IFERROR(__xludf.DUMMYFUNCTION("""COMPUTED_VALUE"""),3)</f>
        <v>3</v>
      </c>
    </row>
    <row r="155" spans="1:42">
      <c r="A155" s="103">
        <f ca="1">IFERROR(__xludf.DUMMYFUNCTION("""COMPUTED_VALUE"""),8)</f>
        <v>8</v>
      </c>
      <c r="B155" s="103" t="str">
        <f ca="1">IFERROR(__xludf.DUMMYFUNCTION("""COMPUTED_VALUE"""),"JHT")</f>
        <v>JHT</v>
      </c>
      <c r="C155" s="103" t="str">
        <f ca="1">IFERROR(__xludf.DUMMYFUNCTION("""COMPUTED_VALUE"""),"N")</f>
        <v>N</v>
      </c>
      <c r="D155" s="103">
        <f ca="1">IFERROR(__xludf.DUMMYFUNCTION("""COMPUTED_VALUE"""),172176245)</f>
        <v>172176245</v>
      </c>
      <c r="E155" s="103" t="str">
        <f ca="1">IFERROR(__xludf.DUMMYFUNCTION("""COMPUTED_VALUE"""),"Purple Finch")</f>
        <v>Purple Finch</v>
      </c>
      <c r="F155" s="103" t="str">
        <f ca="1">IFERROR(__xludf.DUMMYFUNCTION("""COMPUTED_VALUE"""),"PUFI")</f>
        <v>PUFI</v>
      </c>
      <c r="G155" s="103">
        <f ca="1">IFERROR(__xludf.DUMMYFUNCTION("""COMPUTED_VALUE"""),2)</f>
        <v>2</v>
      </c>
      <c r="H155" s="103" t="str">
        <f ca="1">IFERROR(__xludf.DUMMYFUNCTION("""COMPUTED_VALUE"""),"I")</f>
        <v>I</v>
      </c>
      <c r="I155" s="103" t="str">
        <f ca="1">IFERROR(__xludf.DUMMYFUNCTION("""COMPUTED_VALUE"""),"S")</f>
        <v>S</v>
      </c>
      <c r="J155" s="103" t="str">
        <f ca="1">IFERROR(__xludf.DUMMYFUNCTION("""COMPUTED_VALUE"""),"FCJ")</f>
        <v>FCJ</v>
      </c>
      <c r="K155" s="103" t="str">
        <f ca="1">IFERROR(__xludf.DUMMYFUNCTION("""COMPUTED_VALUE"""),"U")</f>
        <v>U</v>
      </c>
      <c r="L155" s="103"/>
      <c r="M155" s="103"/>
      <c r="N155" s="103">
        <f ca="1">IFERROR(__xludf.DUMMYFUNCTION("""COMPUTED_VALUE"""),4)</f>
        <v>4</v>
      </c>
      <c r="O155" s="103">
        <f ca="1">IFERROR(__xludf.DUMMYFUNCTION("""COMPUTED_VALUE"""),0)</f>
        <v>0</v>
      </c>
      <c r="P155" s="103">
        <f ca="1">IFERROR(__xludf.DUMMYFUNCTION("""COMPUTED_VALUE"""),0)</f>
        <v>0</v>
      </c>
      <c r="Q155" s="103">
        <f ca="1">IFERROR(__xludf.DUMMYFUNCTION("""COMPUTED_VALUE"""),1)</f>
        <v>1</v>
      </c>
      <c r="R155" s="103">
        <f ca="1">IFERROR(__xludf.DUMMYFUNCTION("""COMPUTED_VALUE"""),1)</f>
        <v>1</v>
      </c>
      <c r="S155" s="103" t="str">
        <f ca="1">IFERROR(__xludf.DUMMYFUNCTION("""COMPUTED_VALUE"""),"N")</f>
        <v>N</v>
      </c>
      <c r="T155" s="103">
        <f ca="1">IFERROR(__xludf.DUMMYFUNCTION("""COMPUTED_VALUE"""),1)</f>
        <v>1</v>
      </c>
      <c r="U155" s="103">
        <f ca="1">IFERROR(__xludf.DUMMYFUNCTION("""COMPUTED_VALUE"""),3)</f>
        <v>3</v>
      </c>
      <c r="V155" s="103"/>
      <c r="W155" s="103"/>
      <c r="X155" s="103"/>
      <c r="Y155" s="103"/>
      <c r="Z155" s="103"/>
      <c r="AA155" s="103"/>
      <c r="AB155" s="103"/>
      <c r="AC155" s="103"/>
      <c r="AD155" s="103">
        <f ca="1">IFERROR(__xludf.DUMMYFUNCTION("""COMPUTED_VALUE"""),81)</f>
        <v>81</v>
      </c>
      <c r="AE155" s="103">
        <f ca="1">IFERROR(__xludf.DUMMYFUNCTION("""COMPUTED_VALUE"""),21.8)</f>
        <v>21.8</v>
      </c>
      <c r="AF155" s="103">
        <f ca="1">IFERROR(__xludf.DUMMYFUNCTION("""COMPUTED_VALUE"""),300)</f>
        <v>300</v>
      </c>
      <c r="AG155" s="103">
        <f ca="1">IFERROR(__xludf.DUMMYFUNCTION("""COMPUTED_VALUE"""),7)</f>
        <v>7</v>
      </c>
      <c r="AH155" s="103">
        <f ca="1">IFERROR(__xludf.DUMMYFUNCTION("""COMPUTED_VALUE"""),3)</f>
        <v>3</v>
      </c>
      <c r="AI155" s="103">
        <f ca="1">IFERROR(__xludf.DUMMYFUNCTION("""COMPUTED_VALUE"""),9)</f>
        <v>9</v>
      </c>
      <c r="AJ155" s="103" t="str">
        <f ca="1">IFERROR(__xludf.DUMMYFUNCTION("""COMPUTED_VALUE"""),"MORS")</f>
        <v>MORS</v>
      </c>
      <c r="AK155" s="103">
        <f ca="1">IFERROR(__xludf.DUMMYFUNCTION("""COMPUTED_VALUE"""),15)</f>
        <v>15</v>
      </c>
      <c r="AL155" s="103"/>
      <c r="AM155" s="103"/>
      <c r="AN155" s="103"/>
      <c r="AO155" s="57" t="str">
        <f ca="1">IFERROR(__xludf.DUMMYFUNCTION("""COMPUTED_VALUE"""),"1B")</f>
        <v>1B</v>
      </c>
      <c r="AP155" s="103">
        <f ca="1">IFERROR(__xludf.DUMMYFUNCTION("""COMPUTED_VALUE"""),3)</f>
        <v>3</v>
      </c>
    </row>
    <row r="156" spans="1:42">
      <c r="A156" s="103">
        <f ca="1">IFERROR(__xludf.DUMMYFUNCTION("""COMPUTED_VALUE"""),9)</f>
        <v>9</v>
      </c>
      <c r="B156" s="103" t="str">
        <f ca="1">IFERROR(__xludf.DUMMYFUNCTION("""COMPUTED_VALUE"""),"JHT")</f>
        <v>JHT</v>
      </c>
      <c r="C156" s="103" t="str">
        <f ca="1">IFERROR(__xludf.DUMMYFUNCTION("""COMPUTED_VALUE"""),"N")</f>
        <v>N</v>
      </c>
      <c r="D156" s="103">
        <f ca="1">IFERROR(__xludf.DUMMYFUNCTION("""COMPUTED_VALUE"""),281191238)</f>
        <v>281191238</v>
      </c>
      <c r="E156" s="103" t="str">
        <f ca="1">IFERROR(__xludf.DUMMYFUNCTION("""COMPUTED_VALUE"""),"Purple Finch")</f>
        <v>Purple Finch</v>
      </c>
      <c r="F156" s="103" t="str">
        <f ca="1">IFERROR(__xludf.DUMMYFUNCTION("""COMPUTED_VALUE"""),"PUFI")</f>
        <v>PUFI</v>
      </c>
      <c r="G156" s="103">
        <f ca="1">IFERROR(__xludf.DUMMYFUNCTION("""COMPUTED_VALUE"""),2)</f>
        <v>2</v>
      </c>
      <c r="H156" s="103" t="str">
        <f ca="1">IFERROR(__xludf.DUMMYFUNCTION("""COMPUTED_VALUE"""),"I")</f>
        <v>I</v>
      </c>
      <c r="I156" s="103" t="str">
        <f ca="1">IFERROR(__xludf.DUMMYFUNCTION("""COMPUTED_VALUE"""),"S")</f>
        <v>S</v>
      </c>
      <c r="J156" s="103" t="str">
        <f ca="1">IFERROR(__xludf.DUMMYFUNCTION("""COMPUTED_VALUE"""),"FCJ")</f>
        <v>FCJ</v>
      </c>
      <c r="K156" s="103" t="str">
        <f ca="1">IFERROR(__xludf.DUMMYFUNCTION("""COMPUTED_VALUE"""),"U")</f>
        <v>U</v>
      </c>
      <c r="L156" s="103"/>
      <c r="M156" s="103"/>
      <c r="N156" s="103">
        <f ca="1">IFERROR(__xludf.DUMMYFUNCTION("""COMPUTED_VALUE"""),4)</f>
        <v>4</v>
      </c>
      <c r="O156" s="103">
        <f ca="1">IFERROR(__xludf.DUMMYFUNCTION("""COMPUTED_VALUE"""),0)</f>
        <v>0</v>
      </c>
      <c r="P156" s="103">
        <f ca="1">IFERROR(__xludf.DUMMYFUNCTION("""COMPUTED_VALUE"""),0)</f>
        <v>0</v>
      </c>
      <c r="Q156" s="103">
        <f ca="1">IFERROR(__xludf.DUMMYFUNCTION("""COMPUTED_VALUE"""),1)</f>
        <v>1</v>
      </c>
      <c r="R156" s="103">
        <f ca="1">IFERROR(__xludf.DUMMYFUNCTION("""COMPUTED_VALUE"""),1)</f>
        <v>1</v>
      </c>
      <c r="S156" s="103" t="str">
        <f ca="1">IFERROR(__xludf.DUMMYFUNCTION("""COMPUTED_VALUE"""),"N")</f>
        <v>N</v>
      </c>
      <c r="T156" s="103">
        <f ca="1">IFERROR(__xludf.DUMMYFUNCTION("""COMPUTED_VALUE"""),1)</f>
        <v>1</v>
      </c>
      <c r="U156" s="103">
        <f ca="1">IFERROR(__xludf.DUMMYFUNCTION("""COMPUTED_VALUE"""),3)</f>
        <v>3</v>
      </c>
      <c r="V156" s="103"/>
      <c r="W156" s="103"/>
      <c r="X156" s="103"/>
      <c r="Y156" s="103"/>
      <c r="Z156" s="103"/>
      <c r="AA156" s="103"/>
      <c r="AB156" s="103"/>
      <c r="AC156" s="103"/>
      <c r="AD156" s="103">
        <f ca="1">IFERROR(__xludf.DUMMYFUNCTION("""COMPUTED_VALUE"""),77)</f>
        <v>77</v>
      </c>
      <c r="AE156" s="103">
        <f ca="1">IFERROR(__xludf.DUMMYFUNCTION("""COMPUTED_VALUE"""),24.9)</f>
        <v>24.9</v>
      </c>
      <c r="AF156" s="103">
        <f ca="1">IFERROR(__xludf.DUMMYFUNCTION("""COMPUTED_VALUE"""),300)</f>
        <v>300</v>
      </c>
      <c r="AG156" s="103">
        <f ca="1">IFERROR(__xludf.DUMMYFUNCTION("""COMPUTED_VALUE"""),7)</f>
        <v>7</v>
      </c>
      <c r="AH156" s="103">
        <f ca="1">IFERROR(__xludf.DUMMYFUNCTION("""COMPUTED_VALUE"""),3)</f>
        <v>3</v>
      </c>
      <c r="AI156" s="103">
        <f ca="1">IFERROR(__xludf.DUMMYFUNCTION("""COMPUTED_VALUE"""),1010)</f>
        <v>1010</v>
      </c>
      <c r="AJ156" s="103" t="str">
        <f ca="1">IFERROR(__xludf.DUMMYFUNCTION("""COMPUTED_VALUE"""),"MORS")</f>
        <v>MORS</v>
      </c>
      <c r="AK156" s="103">
        <f ca="1">IFERROR(__xludf.DUMMYFUNCTION("""COMPUTED_VALUE"""),15)</f>
        <v>15</v>
      </c>
      <c r="AL156" s="103"/>
      <c r="AM156" s="103"/>
      <c r="AN156" s="103"/>
      <c r="AO156" s="57">
        <f ca="1">IFERROR(__xludf.DUMMYFUNCTION("""COMPUTED_VALUE"""),1)</f>
        <v>1</v>
      </c>
      <c r="AP156" s="103">
        <f ca="1">IFERROR(__xludf.DUMMYFUNCTION("""COMPUTED_VALUE"""),3)</f>
        <v>3</v>
      </c>
    </row>
    <row r="157" spans="1:42">
      <c r="A157" s="103">
        <f ca="1">IFERROR(__xludf.DUMMYFUNCTION("""COMPUTED_VALUE"""),10)</f>
        <v>10</v>
      </c>
      <c r="B157" s="103" t="str">
        <f ca="1">IFERROR(__xludf.DUMMYFUNCTION("""COMPUTED_VALUE"""),"JHT")</f>
        <v>JHT</v>
      </c>
      <c r="C157" s="103" t="str">
        <f ca="1">IFERROR(__xludf.DUMMYFUNCTION("""COMPUTED_VALUE"""),"R")</f>
        <v>R</v>
      </c>
      <c r="D157" s="103">
        <f ca="1">IFERROR(__xludf.DUMMYFUNCTION("""COMPUTED_VALUE"""),287076660)</f>
        <v>287076660</v>
      </c>
      <c r="E157" s="103" t="str">
        <f ca="1">IFERROR(__xludf.DUMMYFUNCTION("""COMPUTED_VALUE"""),"Orange-crowned Warbler")</f>
        <v>Orange-crowned Warbler</v>
      </c>
      <c r="F157" s="103" t="str">
        <f ca="1">IFERROR(__xludf.DUMMYFUNCTION("""COMPUTED_VALUE"""),"OCWA")</f>
        <v>OCWA</v>
      </c>
      <c r="G157" s="103">
        <f ca="1">IFERROR(__xludf.DUMMYFUNCTION("""COMPUTED_VALUE"""),1)</f>
        <v>1</v>
      </c>
      <c r="H157" s="103" t="str">
        <f ca="1">IFERROR(__xludf.DUMMYFUNCTION("""COMPUTED_VALUE"""),"S")</f>
        <v>S</v>
      </c>
      <c r="I157" s="103" t="str">
        <f ca="1">IFERROR(__xludf.DUMMYFUNCTION("""COMPUTED_VALUE"""),"P")</f>
        <v>P</v>
      </c>
      <c r="J157" s="103" t="str">
        <f ca="1">IFERROR(__xludf.DUMMYFUNCTION("""COMPUTED_VALUE"""),"UAJ")</f>
        <v>UAJ</v>
      </c>
      <c r="K157" s="103" t="str">
        <f ca="1">IFERROR(__xludf.DUMMYFUNCTION("""COMPUTED_VALUE"""),"F")</f>
        <v>F</v>
      </c>
      <c r="L157" s="103" t="str">
        <f ca="1">IFERROR(__xludf.DUMMYFUNCTION("""COMPUTED_VALUE"""),"B")</f>
        <v>B</v>
      </c>
      <c r="M157" s="103" t="str">
        <f ca="1">IFERROR(__xludf.DUMMYFUNCTION("""COMPUTED_VALUE"""),"P")</f>
        <v>P</v>
      </c>
      <c r="N157" s="103">
        <f ca="1">IFERROR(__xludf.DUMMYFUNCTION("""COMPUTED_VALUE"""),6)</f>
        <v>6</v>
      </c>
      <c r="O157" s="103">
        <f ca="1">IFERROR(__xludf.DUMMYFUNCTION("""COMPUTED_VALUE"""),0)</f>
        <v>0</v>
      </c>
      <c r="P157" s="103">
        <f ca="1">IFERROR(__xludf.DUMMYFUNCTION("""COMPUTED_VALUE"""),2)</f>
        <v>2</v>
      </c>
      <c r="Q157" s="103">
        <f ca="1">IFERROR(__xludf.DUMMYFUNCTION("""COMPUTED_VALUE"""),0)</f>
        <v>0</v>
      </c>
      <c r="R157" s="103">
        <f ca="1">IFERROR(__xludf.DUMMYFUNCTION("""COMPUTED_VALUE"""),0)</f>
        <v>0</v>
      </c>
      <c r="S157" s="103" t="str">
        <f ca="1">IFERROR(__xludf.DUMMYFUNCTION("""COMPUTED_VALUE"""),"N")</f>
        <v>N</v>
      </c>
      <c r="T157" s="103">
        <f ca="1">IFERROR(__xludf.DUMMYFUNCTION("""COMPUTED_VALUE"""),3)</f>
        <v>3</v>
      </c>
      <c r="U157" s="103"/>
      <c r="V157" s="103"/>
      <c r="W157" s="103"/>
      <c r="X157" s="103"/>
      <c r="Y157" s="103"/>
      <c r="Z157" s="103"/>
      <c r="AA157" s="103"/>
      <c r="AB157" s="103"/>
      <c r="AC157" s="103"/>
      <c r="AD157" s="103">
        <f ca="1">IFERROR(__xludf.DUMMYFUNCTION("""COMPUTED_VALUE"""),54)</f>
        <v>54</v>
      </c>
      <c r="AE157" s="103">
        <f ca="1">IFERROR(__xludf.DUMMYFUNCTION("""COMPUTED_VALUE"""),9.1)</f>
        <v>9.1</v>
      </c>
      <c r="AF157" s="103">
        <f ca="1">IFERROR(__xludf.DUMMYFUNCTION("""COMPUTED_VALUE"""),300)</f>
        <v>300</v>
      </c>
      <c r="AG157" s="103">
        <f ca="1">IFERROR(__xludf.DUMMYFUNCTION("""COMPUTED_VALUE"""),7)</f>
        <v>7</v>
      </c>
      <c r="AH157" s="103">
        <f ca="1">IFERROR(__xludf.DUMMYFUNCTION("""COMPUTED_VALUE"""),3)</f>
        <v>3</v>
      </c>
      <c r="AI157" s="103">
        <f ca="1">IFERROR(__xludf.DUMMYFUNCTION("""COMPUTED_VALUE"""),1040)</f>
        <v>1040</v>
      </c>
      <c r="AJ157" s="103" t="str">
        <f ca="1">IFERROR(__xludf.DUMMYFUNCTION("""COMPUTED_VALUE"""),"MORS")</f>
        <v>MORS</v>
      </c>
      <c r="AK157" s="103">
        <f ca="1">IFERROR(__xludf.DUMMYFUNCTION("""COMPUTED_VALUE"""),6)</f>
        <v>6</v>
      </c>
      <c r="AL157" s="103"/>
      <c r="AM157" s="103"/>
      <c r="AN157" s="103"/>
      <c r="AO157" s="57" t="str">
        <f ca="1">IFERROR(__xludf.DUMMYFUNCTION("""COMPUTED_VALUE"""),"R")</f>
        <v>R</v>
      </c>
      <c r="AP157" s="103">
        <f ca="1">IFERROR(__xludf.DUMMYFUNCTION("""COMPUTED_VALUE"""),3)</f>
        <v>3</v>
      </c>
    </row>
    <row r="158" spans="1:42">
      <c r="A158" s="103">
        <f ca="1">IFERROR(__xludf.DUMMYFUNCTION("""COMPUTED_VALUE"""),11)</f>
        <v>11</v>
      </c>
      <c r="B158" s="103" t="str">
        <f ca="1">IFERROR(__xludf.DUMMYFUNCTION("""COMPUTED_VALUE"""),"JHT")</f>
        <v>JHT</v>
      </c>
      <c r="C158" s="103" t="str">
        <f ca="1">IFERROR(__xludf.DUMMYFUNCTION("""COMPUTED_VALUE"""),"R")</f>
        <v>R</v>
      </c>
      <c r="D158" s="103">
        <f ca="1">IFERROR(__xludf.DUMMYFUNCTION("""COMPUTED_VALUE"""),284111513)</f>
        <v>284111513</v>
      </c>
      <c r="E158" s="103" t="str">
        <f ca="1">IFERROR(__xludf.DUMMYFUNCTION("""COMPUTED_VALUE"""),"Spotted Towhee")</f>
        <v>Spotted Towhee</v>
      </c>
      <c r="F158" s="103" t="str">
        <f ca="1">IFERROR(__xludf.DUMMYFUNCTION("""COMPUTED_VALUE"""),"SPTO")</f>
        <v>SPTO</v>
      </c>
      <c r="G158" s="103">
        <f ca="1">IFERROR(__xludf.DUMMYFUNCTION("""COMPUTED_VALUE"""),1)</f>
        <v>1</v>
      </c>
      <c r="H158" s="103" t="str">
        <f ca="1">IFERROR(__xludf.DUMMYFUNCTION("""COMPUTED_VALUE"""),"S")</f>
        <v>S</v>
      </c>
      <c r="I158" s="103" t="str">
        <f ca="1">IFERROR(__xludf.DUMMYFUNCTION("""COMPUTED_VALUE"""),"P")</f>
        <v>P</v>
      </c>
      <c r="J158" s="103" t="str">
        <f ca="1">IFERROR(__xludf.DUMMYFUNCTION("""COMPUTED_VALUE"""),"UAJ")</f>
        <v>UAJ</v>
      </c>
      <c r="K158" s="103" t="str">
        <f ca="1">IFERROR(__xludf.DUMMYFUNCTION("""COMPUTED_VALUE"""),"F")</f>
        <v>F</v>
      </c>
      <c r="L158" s="103" t="str">
        <f ca="1">IFERROR(__xludf.DUMMYFUNCTION("""COMPUTED_VALUE"""),"B")</f>
        <v>B</v>
      </c>
      <c r="M158" s="103" t="str">
        <f ca="1">IFERROR(__xludf.DUMMYFUNCTION("""COMPUTED_VALUE"""),"P")</f>
        <v>P</v>
      </c>
      <c r="N158" s="103">
        <f ca="1">IFERROR(__xludf.DUMMYFUNCTION("""COMPUTED_VALUE"""),6)</f>
        <v>6</v>
      </c>
      <c r="O158" s="103">
        <f ca="1">IFERROR(__xludf.DUMMYFUNCTION("""COMPUTED_VALUE"""),0)</f>
        <v>0</v>
      </c>
      <c r="P158" s="103">
        <f ca="1">IFERROR(__xludf.DUMMYFUNCTION("""COMPUTED_VALUE"""),4)</f>
        <v>4</v>
      </c>
      <c r="Q158" s="103">
        <f ca="1">IFERROR(__xludf.DUMMYFUNCTION("""COMPUTED_VALUE"""),0)</f>
        <v>0</v>
      </c>
      <c r="R158" s="103">
        <f ca="1">IFERROR(__xludf.DUMMYFUNCTION("""COMPUTED_VALUE"""),0)</f>
        <v>0</v>
      </c>
      <c r="S158" s="103" t="str">
        <f ca="1">IFERROR(__xludf.DUMMYFUNCTION("""COMPUTED_VALUE"""),"A")</f>
        <v>A</v>
      </c>
      <c r="T158" s="103">
        <f ca="1">IFERROR(__xludf.DUMMYFUNCTION("""COMPUTED_VALUE"""),3)</f>
        <v>3</v>
      </c>
      <c r="U158" s="103"/>
      <c r="V158" s="103"/>
      <c r="W158" s="103"/>
      <c r="X158" s="103"/>
      <c r="Y158" s="103"/>
      <c r="Z158" s="103"/>
      <c r="AA158" s="103"/>
      <c r="AB158" s="103"/>
      <c r="AC158" s="103"/>
      <c r="AD158" s="103">
        <f ca="1">IFERROR(__xludf.DUMMYFUNCTION("""COMPUTED_VALUE"""),81)</f>
        <v>81</v>
      </c>
      <c r="AE158" s="103">
        <f ca="1">IFERROR(__xludf.DUMMYFUNCTION("""COMPUTED_VALUE"""),31.7)</f>
        <v>31.7</v>
      </c>
      <c r="AF158" s="103">
        <f ca="1">IFERROR(__xludf.DUMMYFUNCTION("""COMPUTED_VALUE"""),300)</f>
        <v>300</v>
      </c>
      <c r="AG158" s="103">
        <f ca="1">IFERROR(__xludf.DUMMYFUNCTION("""COMPUTED_VALUE"""),7)</f>
        <v>7</v>
      </c>
      <c r="AH158" s="103">
        <f ca="1">IFERROR(__xludf.DUMMYFUNCTION("""COMPUTED_VALUE"""),3)</f>
        <v>3</v>
      </c>
      <c r="AI158" s="103">
        <f ca="1">IFERROR(__xludf.DUMMYFUNCTION("""COMPUTED_VALUE"""),1120)</f>
        <v>1120</v>
      </c>
      <c r="AJ158" s="103" t="str">
        <f ca="1">IFERROR(__xludf.DUMMYFUNCTION("""COMPUTED_VALUE"""),"MORS")</f>
        <v>MORS</v>
      </c>
      <c r="AK158" s="103">
        <f ca="1">IFERROR(__xludf.DUMMYFUNCTION("""COMPUTED_VALUE"""),14)</f>
        <v>14</v>
      </c>
      <c r="AL158" s="103"/>
      <c r="AM158" s="103">
        <f ca="1">IFERROR(__xludf.DUMMYFUNCTION("""COMPUTED_VALUE"""),5)</f>
        <v>5</v>
      </c>
      <c r="AN158" s="103" t="str">
        <f ca="1">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 ca="1">IFERROR(__xludf.DUMMYFUNCTION("""COMPUTED_VALUE"""),"R")</f>
        <v>R</v>
      </c>
      <c r="AP158" s="103">
        <f ca="1">IFERROR(__xludf.DUMMYFUNCTION("""COMPUTED_VALUE"""),3)</f>
        <v>3</v>
      </c>
    </row>
    <row r="159" spans="1:42">
      <c r="A159" s="103">
        <f ca="1">IFERROR(__xludf.DUMMYFUNCTION("""COMPUTED_VALUE"""),1)</f>
        <v>1</v>
      </c>
      <c r="B159" s="103" t="str">
        <f ca="1">IFERROR(__xludf.DUMMYFUNCTION("""COMPUTED_VALUE"""),"ACC")</f>
        <v>ACC</v>
      </c>
      <c r="C159" s="103" t="str">
        <f ca="1">IFERROR(__xludf.DUMMYFUNCTION("""COMPUTED_VALUE"""),"N")</f>
        <v>N</v>
      </c>
      <c r="D159" s="103">
        <f ca="1">IFERROR(__xludf.DUMMYFUNCTION("""COMPUTED_VALUE"""),172176244)</f>
        <v>172176244</v>
      </c>
      <c r="E159" s="103" t="str">
        <f ca="1">IFERROR(__xludf.DUMMYFUNCTION("""COMPUTED_VALUE"""),"Song Sparrow")</f>
        <v>Song Sparrow</v>
      </c>
      <c r="F159" s="103" t="str">
        <f ca="1">IFERROR(__xludf.DUMMYFUNCTION("""COMPUTED_VALUE"""),"SOSP")</f>
        <v>SOSP</v>
      </c>
      <c r="G159" s="103">
        <f ca="1">IFERROR(__xludf.DUMMYFUNCTION("""COMPUTED_VALUE"""),6)</f>
        <v>6</v>
      </c>
      <c r="H159" s="103" t="str">
        <f ca="1">IFERROR(__xludf.DUMMYFUNCTION("""COMPUTED_VALUE"""),"P")</f>
        <v>P</v>
      </c>
      <c r="I159" s="103"/>
      <c r="J159" s="103" t="str">
        <f ca="1">IFERROR(__xludf.DUMMYFUNCTION("""COMPUTED_VALUE"""),"DCB")</f>
        <v>DCB</v>
      </c>
      <c r="K159" s="103" t="str">
        <f ca="1">IFERROR(__xludf.DUMMYFUNCTION("""COMPUTED_VALUE"""),"M")</f>
        <v>M</v>
      </c>
      <c r="L159" s="103" t="str">
        <f ca="1">IFERROR(__xludf.DUMMYFUNCTION("""COMPUTED_VALUE"""),"C")</f>
        <v>C</v>
      </c>
      <c r="M159" s="103"/>
      <c r="N159" s="103"/>
      <c r="O159" s="103">
        <f ca="1">IFERROR(__xludf.DUMMYFUNCTION("""COMPUTED_VALUE"""),2)</f>
        <v>2</v>
      </c>
      <c r="P159" s="103">
        <f ca="1">IFERROR(__xludf.DUMMYFUNCTION("""COMPUTED_VALUE"""),0)</f>
        <v>0</v>
      </c>
      <c r="Q159" s="103">
        <f ca="1">IFERROR(__xludf.DUMMYFUNCTION("""COMPUTED_VALUE"""),0)</f>
        <v>0</v>
      </c>
      <c r="R159" s="103"/>
      <c r="S159" s="103" t="str">
        <f ca="1">IFERROR(__xludf.DUMMYFUNCTION("""COMPUTED_VALUE"""),"N")</f>
        <v>N</v>
      </c>
      <c r="T159" s="103"/>
      <c r="U159" s="103"/>
      <c r="V159" s="103" t="str">
        <f ca="1">IFERROR(__xludf.DUMMYFUNCTION("""COMPUTED_VALUE"""),"B")</f>
        <v>B</v>
      </c>
      <c r="W159" s="103" t="str">
        <f ca="1">IFERROR(__xludf.DUMMYFUNCTION("""COMPUTED_VALUE"""),"B")</f>
        <v>B</v>
      </c>
      <c r="X159" s="103"/>
      <c r="Y159" s="103"/>
      <c r="Z159" s="103"/>
      <c r="AA159" s="103" t="str">
        <f ca="1">IFERROR(__xludf.DUMMYFUNCTION("""COMPUTED_VALUE"""),"B")</f>
        <v>B</v>
      </c>
      <c r="AB159" s="103"/>
      <c r="AC159" s="103"/>
      <c r="AD159" s="103">
        <f ca="1">IFERROR(__xludf.DUMMYFUNCTION("""COMPUTED_VALUE"""),68)</f>
        <v>68</v>
      </c>
      <c r="AE159" s="103">
        <f ca="1">IFERROR(__xludf.DUMMYFUNCTION("""COMPUTED_VALUE"""),23.5)</f>
        <v>23.5</v>
      </c>
      <c r="AF159" s="103">
        <f ca="1">IFERROR(__xludf.DUMMYFUNCTION("""COMPUTED_VALUE"""),300)</f>
        <v>300</v>
      </c>
      <c r="AG159" s="103">
        <f ca="1">IFERROR(__xludf.DUMMYFUNCTION("""COMPUTED_VALUE"""),7)</f>
        <v>7</v>
      </c>
      <c r="AH159" s="103">
        <f ca="1">IFERROR(__xludf.DUMMYFUNCTION("""COMPUTED_VALUE"""),3)</f>
        <v>3</v>
      </c>
      <c r="AI159" s="103">
        <f ca="1">IFERROR(__xludf.DUMMYFUNCTION("""COMPUTED_VALUE"""),6)</f>
        <v>6</v>
      </c>
      <c r="AJ159" s="103" t="str">
        <f ca="1">IFERROR(__xludf.DUMMYFUNCTION("""COMPUTED_VALUE"""),"MORS")</f>
        <v>MORS</v>
      </c>
      <c r="AK159" s="103">
        <f ca="1">IFERROR(__xludf.DUMMYFUNCTION("""COMPUTED_VALUE"""),20)</f>
        <v>20</v>
      </c>
      <c r="AL159" s="103"/>
      <c r="AM159" s="103">
        <f ca="1">IFERROR(__xludf.DUMMYFUNCTION("""COMPUTED_VALUE"""),1)</f>
        <v>1</v>
      </c>
      <c r="AN159" s="103" t="str">
        <f ca="1">IFERROR(__xludf.DUMMYFUNCTION("""COMPUTED_VALUE"""),"Iris chestnut brown")</f>
        <v>Iris chestnut brown</v>
      </c>
      <c r="AO159" s="57" t="str">
        <f ca="1">IFERROR(__xludf.DUMMYFUNCTION("""COMPUTED_VALUE"""),"1B")</f>
        <v>1B</v>
      </c>
      <c r="AP159" s="103">
        <f ca="1">IFERROR(__xludf.DUMMYFUNCTION("""COMPUTED_VALUE"""),4)</f>
        <v>4</v>
      </c>
    </row>
    <row r="160" spans="1:42">
      <c r="A160" s="103">
        <f ca="1">IFERROR(__xludf.DUMMYFUNCTION("""COMPUTED_VALUE"""),2)</f>
        <v>2</v>
      </c>
      <c r="B160" s="103" t="str">
        <f ca="1">IFERROR(__xludf.DUMMYFUNCTION("""COMPUTED_VALUE"""),"ACC")</f>
        <v>ACC</v>
      </c>
      <c r="C160" s="103" t="str">
        <f ca="1">IFERROR(__xludf.DUMMYFUNCTION("""COMPUTED_VALUE"""),"R")</f>
        <v>R</v>
      </c>
      <c r="D160" s="103">
        <f ca="1">IFERROR(__xludf.DUMMYFUNCTION("""COMPUTED_VALUE"""),283105242)</f>
        <v>283105242</v>
      </c>
      <c r="E160" s="103" t="str">
        <f ca="1">IFERROR(__xludf.DUMMYFUNCTION("""COMPUTED_VALUE"""),"Swainson's Thrush")</f>
        <v>Swainson's Thrush</v>
      </c>
      <c r="F160" s="103" t="str">
        <f ca="1">IFERROR(__xludf.DUMMYFUNCTION("""COMPUTED_VALUE"""),"SWTH")</f>
        <v>SWTH</v>
      </c>
      <c r="G160" s="103">
        <f ca="1">IFERROR(__xludf.DUMMYFUNCTION("""COMPUTED_VALUE"""),1)</f>
        <v>1</v>
      </c>
      <c r="H160" s="103" t="str">
        <f ca="1">IFERROR(__xludf.DUMMYFUNCTION("""COMPUTED_VALUE"""),"P")</f>
        <v>P</v>
      </c>
      <c r="I160" s="103"/>
      <c r="J160" s="103" t="str">
        <f ca="1">IFERROR(__xludf.DUMMYFUNCTION("""COMPUTED_VALUE"""),"FAJ")</f>
        <v>FAJ</v>
      </c>
      <c r="K160" s="103" t="str">
        <f ca="1">IFERROR(__xludf.DUMMYFUNCTION("""COMPUTED_VALUE"""),"F")</f>
        <v>F</v>
      </c>
      <c r="L160" s="103" t="str">
        <f ca="1">IFERROR(__xludf.DUMMYFUNCTION("""COMPUTED_VALUE"""),"B")</f>
        <v>B</v>
      </c>
      <c r="M160" s="103"/>
      <c r="N160" s="103"/>
      <c r="O160" s="103">
        <f ca="1">IFERROR(__xludf.DUMMYFUNCTION("""COMPUTED_VALUE"""),0)</f>
        <v>0</v>
      </c>
      <c r="P160" s="103">
        <f ca="1">IFERROR(__xludf.DUMMYFUNCTION("""COMPUTED_VALUE"""),3)</f>
        <v>3</v>
      </c>
      <c r="Q160" s="103">
        <f ca="1">IFERROR(__xludf.DUMMYFUNCTION("""COMPUTED_VALUE"""),1)</f>
        <v>1</v>
      </c>
      <c r="R160" s="103">
        <f ca="1">IFERROR(__xludf.DUMMYFUNCTION("""COMPUTED_VALUE"""),0)</f>
        <v>0</v>
      </c>
      <c r="S160" s="103" t="str">
        <f ca="1">IFERROR(__xludf.DUMMYFUNCTION("""COMPUTED_VALUE"""),"N")</f>
        <v>N</v>
      </c>
      <c r="T160" s="103">
        <f ca="1">IFERROR(__xludf.DUMMYFUNCTION("""COMPUTED_VALUE"""),3)</f>
        <v>3</v>
      </c>
      <c r="U160" s="103"/>
      <c r="V160" s="103"/>
      <c r="W160" s="103"/>
      <c r="X160" s="103"/>
      <c r="Y160" s="103"/>
      <c r="Z160" s="103"/>
      <c r="AA160" s="103"/>
      <c r="AB160" s="103"/>
      <c r="AC160" s="103"/>
      <c r="AD160" s="103">
        <f ca="1">IFERROR(__xludf.DUMMYFUNCTION("""COMPUTED_VALUE"""),93)</f>
        <v>93</v>
      </c>
      <c r="AE160" s="103">
        <f ca="1">IFERROR(__xludf.DUMMYFUNCTION("""COMPUTED_VALUE"""),33.6)</f>
        <v>33.6</v>
      </c>
      <c r="AF160" s="103">
        <f ca="1">IFERROR(__xludf.DUMMYFUNCTION("""COMPUTED_VALUE"""),300)</f>
        <v>300</v>
      </c>
      <c r="AG160" s="103">
        <f ca="1">IFERROR(__xludf.DUMMYFUNCTION("""COMPUTED_VALUE"""),7)</f>
        <v>7</v>
      </c>
      <c r="AH160" s="103">
        <f ca="1">IFERROR(__xludf.DUMMYFUNCTION("""COMPUTED_VALUE"""),3)</f>
        <v>3</v>
      </c>
      <c r="AI160" s="103">
        <f ca="1">IFERROR(__xludf.DUMMYFUNCTION("""COMPUTED_VALUE"""),630)</f>
        <v>630</v>
      </c>
      <c r="AJ160" s="103" t="str">
        <f ca="1">IFERROR(__xludf.DUMMYFUNCTION("""COMPUTED_VALUE"""),"MORS")</f>
        <v>MORS</v>
      </c>
      <c r="AK160" s="103">
        <f ca="1">IFERROR(__xludf.DUMMYFUNCTION("""COMPUTED_VALUE"""),9)</f>
        <v>9</v>
      </c>
      <c r="AL160" s="103"/>
      <c r="AM160" s="103">
        <f ca="1">IFERROR(__xludf.DUMMYFUNCTION("""COMPUTED_VALUE"""),2)</f>
        <v>2</v>
      </c>
      <c r="AN160" s="103" t="str">
        <f ca="1">IFERROR(__xludf.DUMMYFUNCTION("""COMPUTED_VALUE"""),"P10 -&gt; longest pcov = 4mm. No buffy tips")</f>
        <v>P10 -&gt; longest pcov = 4mm. No buffy tips</v>
      </c>
      <c r="AO160" s="57" t="str">
        <f ca="1">IFERROR(__xludf.DUMMYFUNCTION("""COMPUTED_VALUE"""),"R")</f>
        <v>R</v>
      </c>
      <c r="AP160" s="103">
        <f ca="1">IFERROR(__xludf.DUMMYFUNCTION("""COMPUTED_VALUE"""),4)</f>
        <v>4</v>
      </c>
    </row>
    <row r="161" spans="1:42">
      <c r="A161" s="103">
        <f ca="1">IFERROR(__xludf.DUMMYFUNCTION("""COMPUTED_VALUE"""),3)</f>
        <v>3</v>
      </c>
      <c r="B161" s="103" t="str">
        <f ca="1">IFERROR(__xludf.DUMMYFUNCTION("""COMPUTED_VALUE"""),"ACC")</f>
        <v>ACC</v>
      </c>
      <c r="C161" s="103" t="str">
        <f ca="1">IFERROR(__xludf.DUMMYFUNCTION("""COMPUTED_VALUE"""),"N")</f>
        <v>N</v>
      </c>
      <c r="D161" s="103">
        <f ca="1">IFERROR(__xludf.DUMMYFUNCTION("""COMPUTED_VALUE"""),288029959)</f>
        <v>288029959</v>
      </c>
      <c r="E161" s="103" t="str">
        <f ca="1">IFERROR(__xludf.DUMMYFUNCTION("""COMPUTED_VALUE"""),"Black-capped Chickadee")</f>
        <v>Black-capped Chickadee</v>
      </c>
      <c r="F161" s="103" t="str">
        <f ca="1">IFERROR(__xludf.DUMMYFUNCTION("""COMPUTED_VALUE"""),"BCCH")</f>
        <v>BCCH</v>
      </c>
      <c r="G161" s="103">
        <f ca="1">IFERROR(__xludf.DUMMYFUNCTION("""COMPUTED_VALUE"""),2)</f>
        <v>2</v>
      </c>
      <c r="H161" s="103" t="str">
        <f ca="1">IFERROR(__xludf.DUMMYFUNCTION("""COMPUTED_VALUE"""),"P")</f>
        <v>P</v>
      </c>
      <c r="I161" s="103" t="str">
        <f ca="1">IFERROR(__xludf.DUMMYFUNCTION("""COMPUTED_VALUE"""),"S")</f>
        <v>S</v>
      </c>
      <c r="J161" s="103" t="str">
        <f ca="1">IFERROR(__xludf.DUMMYFUNCTION("""COMPUTED_VALUE"""),"FCJ")</f>
        <v>FCJ</v>
      </c>
      <c r="K161" s="103" t="str">
        <f ca="1">IFERROR(__xludf.DUMMYFUNCTION("""COMPUTED_VALUE"""),"U")</f>
        <v>U</v>
      </c>
      <c r="L161" s="103"/>
      <c r="M161" s="103"/>
      <c r="N161" s="103">
        <f ca="1">IFERROR(__xludf.DUMMYFUNCTION("""COMPUTED_VALUE"""),3)</f>
        <v>3</v>
      </c>
      <c r="O161" s="103"/>
      <c r="P161" s="103"/>
      <c r="Q161" s="103"/>
      <c r="R161" s="103"/>
      <c r="S161" s="103"/>
      <c r="T161" s="103">
        <f ca="1">IFERROR(__xludf.DUMMYFUNCTION("""COMPUTED_VALUE"""),0)</f>
        <v>0</v>
      </c>
      <c r="U161" s="103"/>
      <c r="V161" s="103"/>
      <c r="W161" s="103"/>
      <c r="X161" s="103" t="str">
        <f ca="1">IFERROR(__xludf.DUMMYFUNCTION("""COMPUTED_VALUE"""),"J")</f>
        <v>J</v>
      </c>
      <c r="Y161" s="103" t="str">
        <f ca="1">IFERROR(__xludf.DUMMYFUNCTION("""COMPUTED_VALUE"""),"J")</f>
        <v>J</v>
      </c>
      <c r="Z161" s="103"/>
      <c r="AA161" s="103" t="str">
        <f ca="1">IFERROR(__xludf.DUMMYFUNCTION("""COMPUTED_VALUE"""),"J")</f>
        <v>J</v>
      </c>
      <c r="AB161" s="103"/>
      <c r="AC161" s="103"/>
      <c r="AD161" s="103">
        <f ca="1">IFERROR(__xludf.DUMMYFUNCTION("""COMPUTED_VALUE"""),62)</f>
        <v>62</v>
      </c>
      <c r="AE161" s="103">
        <f ca="1">IFERROR(__xludf.DUMMYFUNCTION("""COMPUTED_VALUE"""),10.3)</f>
        <v>10.3</v>
      </c>
      <c r="AF161" s="103">
        <f ca="1">IFERROR(__xludf.DUMMYFUNCTION("""COMPUTED_VALUE"""),300)</f>
        <v>300</v>
      </c>
      <c r="AG161" s="103">
        <f ca="1">IFERROR(__xludf.DUMMYFUNCTION("""COMPUTED_VALUE"""),7)</f>
        <v>7</v>
      </c>
      <c r="AH161" s="103">
        <f ca="1">IFERROR(__xludf.DUMMYFUNCTION("""COMPUTED_VALUE"""),3)</f>
        <v>3</v>
      </c>
      <c r="AI161" s="103">
        <f ca="1">IFERROR(__xludf.DUMMYFUNCTION("""COMPUTED_VALUE"""),710)</f>
        <v>710</v>
      </c>
      <c r="AJ161" s="103" t="str">
        <f ca="1">IFERROR(__xludf.DUMMYFUNCTION("""COMPUTED_VALUE"""),"MORS")</f>
        <v>MORS</v>
      </c>
      <c r="AK161" s="103">
        <f ca="1">IFERROR(__xludf.DUMMYFUNCTION("""COMPUTED_VALUE"""),9)</f>
        <v>9</v>
      </c>
      <c r="AL161" s="103"/>
      <c r="AM161" s="103"/>
      <c r="AN161" s="103"/>
      <c r="AO161" s="57">
        <f ca="1">IFERROR(__xludf.DUMMYFUNCTION("""COMPUTED_VALUE"""),0)</f>
        <v>0</v>
      </c>
      <c r="AP161" s="103">
        <f ca="1">IFERROR(__xludf.DUMMYFUNCTION("""COMPUTED_VALUE"""),4)</f>
        <v>4</v>
      </c>
    </row>
    <row r="162" spans="1:42">
      <c r="A162" s="103">
        <f ca="1">IFERROR(__xludf.DUMMYFUNCTION("""COMPUTED_VALUE"""),4)</f>
        <v>4</v>
      </c>
      <c r="B162" s="103" t="str">
        <f ca="1">IFERROR(__xludf.DUMMYFUNCTION("""COMPUTED_VALUE"""),"ACC")</f>
        <v>ACC</v>
      </c>
      <c r="C162" s="103" t="str">
        <f ca="1">IFERROR(__xludf.DUMMYFUNCTION("""COMPUTED_VALUE"""),"N")</f>
        <v>N</v>
      </c>
      <c r="D162" s="103">
        <f ca="1">IFERROR(__xludf.DUMMYFUNCTION("""COMPUTED_VALUE"""),290077840)</f>
        <v>290077840</v>
      </c>
      <c r="E162" s="103" t="str">
        <f ca="1">IFERROR(__xludf.DUMMYFUNCTION("""COMPUTED_VALUE"""),"Common Yellowthroat")</f>
        <v>Common Yellowthroat</v>
      </c>
      <c r="F162" s="103" t="str">
        <f ca="1">IFERROR(__xludf.DUMMYFUNCTION("""COMPUTED_VALUE"""),"COYE")</f>
        <v>COYE</v>
      </c>
      <c r="G162" s="103">
        <f ca="1">IFERROR(__xludf.DUMMYFUNCTION("""COMPUTED_VALUE"""),1)</f>
        <v>1</v>
      </c>
      <c r="H162" s="103" t="str">
        <f ca="1">IFERROR(__xludf.DUMMYFUNCTION("""COMPUTED_VALUE"""),"B")</f>
        <v>B</v>
      </c>
      <c r="I162" s="103" t="str">
        <f ca="1">IFERROR(__xludf.DUMMYFUNCTION("""COMPUTED_VALUE"""),"P")</f>
        <v>P</v>
      </c>
      <c r="J162" s="103" t="str">
        <f ca="1">IFERROR(__xludf.DUMMYFUNCTION("""COMPUTED_VALUE"""),"UAJ")</f>
        <v>UAJ</v>
      </c>
      <c r="K162" s="103" t="str">
        <f ca="1">IFERROR(__xludf.DUMMYFUNCTION("""COMPUTED_VALUE"""),"F")</f>
        <v>F</v>
      </c>
      <c r="L162" s="103" t="str">
        <f ca="1">IFERROR(__xludf.DUMMYFUNCTION("""COMPUTED_VALUE"""),"P")</f>
        <v>P</v>
      </c>
      <c r="M162" s="103" t="str">
        <f ca="1">IFERROR(__xludf.DUMMYFUNCTION("""COMPUTED_VALUE"""),"B")</f>
        <v>B</v>
      </c>
      <c r="N162" s="103"/>
      <c r="O162" s="103">
        <f ca="1">IFERROR(__xludf.DUMMYFUNCTION("""COMPUTED_VALUE"""),0)</f>
        <v>0</v>
      </c>
      <c r="P162" s="103">
        <f ca="1">IFERROR(__xludf.DUMMYFUNCTION("""COMPUTED_VALUE"""),3)</f>
        <v>3</v>
      </c>
      <c r="Q162" s="103">
        <f ca="1">IFERROR(__xludf.DUMMYFUNCTION("""COMPUTED_VALUE"""),1)</f>
        <v>1</v>
      </c>
      <c r="R162" s="103">
        <f ca="1">IFERROR(__xludf.DUMMYFUNCTION("""COMPUTED_VALUE"""),0)</f>
        <v>0</v>
      </c>
      <c r="S162" s="103" t="str">
        <f ca="1">IFERROR(__xludf.DUMMYFUNCTION("""COMPUTED_VALUE"""),"N")</f>
        <v>N</v>
      </c>
      <c r="T162" s="103">
        <f ca="1">IFERROR(__xludf.DUMMYFUNCTION("""COMPUTED_VALUE"""),3)</f>
        <v>3</v>
      </c>
      <c r="U162" s="103"/>
      <c r="V162" s="103"/>
      <c r="W162" s="103"/>
      <c r="X162" s="103"/>
      <c r="Y162" s="103"/>
      <c r="Z162" s="103"/>
      <c r="AA162" s="103"/>
      <c r="AB162" s="103"/>
      <c r="AC162" s="103"/>
      <c r="AD162" s="103">
        <f ca="1">IFERROR(__xludf.DUMMYFUNCTION("""COMPUTED_VALUE"""),52)</f>
        <v>52</v>
      </c>
      <c r="AE162" s="103">
        <f ca="1">IFERROR(__xludf.DUMMYFUNCTION("""COMPUTED_VALUE"""),9.1)</f>
        <v>9.1</v>
      </c>
      <c r="AF162" s="103">
        <f ca="1">IFERROR(__xludf.DUMMYFUNCTION("""COMPUTED_VALUE"""),300)</f>
        <v>300</v>
      </c>
      <c r="AG162" s="103">
        <f ca="1">IFERROR(__xludf.DUMMYFUNCTION("""COMPUTED_VALUE"""),7)</f>
        <v>7</v>
      </c>
      <c r="AH162" s="103">
        <f ca="1">IFERROR(__xludf.DUMMYFUNCTION("""COMPUTED_VALUE"""),3)</f>
        <v>3</v>
      </c>
      <c r="AI162" s="103">
        <f ca="1">IFERROR(__xludf.DUMMYFUNCTION("""COMPUTED_VALUE"""),740)</f>
        <v>740</v>
      </c>
      <c r="AJ162" s="103" t="str">
        <f ca="1">IFERROR(__xludf.DUMMYFUNCTION("""COMPUTED_VALUE"""),"MORS")</f>
        <v>MORS</v>
      </c>
      <c r="AK162" s="103">
        <f ca="1">IFERROR(__xludf.DUMMYFUNCTION("""COMPUTED_VALUE"""),21)</f>
        <v>21</v>
      </c>
      <c r="AL162" s="103"/>
      <c r="AM162" s="103">
        <f ca="1">IFERROR(__xludf.DUMMYFUNCTION("""COMPUTED_VALUE"""),3)</f>
        <v>3</v>
      </c>
      <c r="AN162" s="103" t="str">
        <f ca="1">IFERROR(__xludf.DUMMYFUNCTION("""COMPUTED_VALUE"""),"R1 replaced, fresher.")</f>
        <v>R1 replaced, fresher.</v>
      </c>
      <c r="AO162" s="57" t="str">
        <f ca="1">IFERROR(__xludf.DUMMYFUNCTION("""COMPUTED_VALUE"""),"0A")</f>
        <v>0A</v>
      </c>
      <c r="AP162" s="103">
        <f ca="1">IFERROR(__xludf.DUMMYFUNCTION("""COMPUTED_VALUE"""),4)</f>
        <v>4</v>
      </c>
    </row>
    <row r="163" spans="1:42">
      <c r="A163" s="103">
        <f ca="1">IFERROR(__xludf.DUMMYFUNCTION("""COMPUTED_VALUE"""),1)</f>
        <v>1</v>
      </c>
      <c r="B163" s="103" t="str">
        <f ca="1">IFERROR(__xludf.DUMMYFUNCTION("""COMPUTED_VALUE"""),"NDS")</f>
        <v>NDS</v>
      </c>
      <c r="C163" s="103" t="str">
        <f ca="1">IFERROR(__xludf.DUMMYFUNCTION("""COMPUTED_VALUE"""),"N")</f>
        <v>N</v>
      </c>
      <c r="D163" s="103">
        <f ca="1">IFERROR(__xludf.DUMMYFUNCTION("""COMPUTED_VALUE"""),172176246)</f>
        <v>172176246</v>
      </c>
      <c r="E163" s="103" t="str">
        <f ca="1">IFERROR(__xludf.DUMMYFUNCTION("""COMPUTED_VALUE"""),"Swainson's Thrush")</f>
        <v>Swainson's Thrush</v>
      </c>
      <c r="F163" s="103" t="str">
        <f ca="1">IFERROR(__xludf.DUMMYFUNCTION("""COMPUTED_VALUE"""),"SWTH")</f>
        <v>SWTH</v>
      </c>
      <c r="G163" s="103">
        <f ca="1">IFERROR(__xludf.DUMMYFUNCTION("""COMPUTED_VALUE"""),5)</f>
        <v>5</v>
      </c>
      <c r="H163" s="103" t="str">
        <f ca="1">IFERROR(__xludf.DUMMYFUNCTION("""COMPUTED_VALUE"""),"P")</f>
        <v>P</v>
      </c>
      <c r="I163" s="103"/>
      <c r="J163" s="103" t="str">
        <f ca="1">IFERROR(__xludf.DUMMYFUNCTION("""COMPUTED_VALUE"""),"FCF")</f>
        <v>FCF</v>
      </c>
      <c r="K163" s="103" t="str">
        <f ca="1">IFERROR(__xludf.DUMMYFUNCTION("""COMPUTED_VALUE"""),"M")</f>
        <v>M</v>
      </c>
      <c r="L163" s="103" t="str">
        <f ca="1">IFERROR(__xludf.DUMMYFUNCTION("""COMPUTED_VALUE"""),"C")</f>
        <v>C</v>
      </c>
      <c r="M163" s="103"/>
      <c r="N163" s="103"/>
      <c r="O163" s="103">
        <f ca="1">IFERROR(__xludf.DUMMYFUNCTION("""COMPUTED_VALUE"""),2)</f>
        <v>2</v>
      </c>
      <c r="P163" s="103">
        <f ca="1">IFERROR(__xludf.DUMMYFUNCTION("""COMPUTED_VALUE"""),0)</f>
        <v>0</v>
      </c>
      <c r="Q163" s="103">
        <f ca="1">IFERROR(__xludf.DUMMYFUNCTION("""COMPUTED_VALUE"""),1)</f>
        <v>1</v>
      </c>
      <c r="R163" s="103">
        <f ca="1">IFERROR(__xludf.DUMMYFUNCTION("""COMPUTED_VALUE"""),0)</f>
        <v>0</v>
      </c>
      <c r="S163" s="103" t="str">
        <f ca="1">IFERROR(__xludf.DUMMYFUNCTION("""COMPUTED_VALUE"""),"N")</f>
        <v>N</v>
      </c>
      <c r="T163" s="103">
        <f ca="1">IFERROR(__xludf.DUMMYFUNCTION("""COMPUTED_VALUE"""),2)</f>
        <v>2</v>
      </c>
      <c r="U163" s="103"/>
      <c r="V163" s="103"/>
      <c r="W163" s="103" t="str">
        <f ca="1">IFERROR(__xludf.DUMMYFUNCTION("""COMPUTED_VALUE"""),"L")</f>
        <v>L</v>
      </c>
      <c r="X163" s="103"/>
      <c r="Y163" s="103"/>
      <c r="Z163" s="103"/>
      <c r="AA163" s="103" t="str">
        <f ca="1">IFERROR(__xludf.DUMMYFUNCTION("""COMPUTED_VALUE"""),"J")</f>
        <v>J</v>
      </c>
      <c r="AB163" s="103"/>
      <c r="AC163" s="103"/>
      <c r="AD163" s="103">
        <f ca="1">IFERROR(__xludf.DUMMYFUNCTION("""COMPUTED_VALUE"""),95)</f>
        <v>95</v>
      </c>
      <c r="AE163" s="103">
        <f ca="1">IFERROR(__xludf.DUMMYFUNCTION("""COMPUTED_VALUE"""),30)</f>
        <v>30</v>
      </c>
      <c r="AF163" s="103">
        <f ca="1">IFERROR(__xludf.DUMMYFUNCTION("""COMPUTED_VALUE"""),300)</f>
        <v>300</v>
      </c>
      <c r="AG163" s="103">
        <f ca="1">IFERROR(__xludf.DUMMYFUNCTION("""COMPUTED_VALUE"""),7)</f>
        <v>7</v>
      </c>
      <c r="AH163" s="103">
        <f ca="1">IFERROR(__xludf.DUMMYFUNCTION("""COMPUTED_VALUE"""),10)</f>
        <v>10</v>
      </c>
      <c r="AI163" s="103">
        <f ca="1">IFERROR(__xludf.DUMMYFUNCTION("""COMPUTED_VALUE"""),630)</f>
        <v>630</v>
      </c>
      <c r="AJ163" s="103" t="str">
        <f ca="1">IFERROR(__xludf.DUMMYFUNCTION("""COMPUTED_VALUE"""),"MORS")</f>
        <v>MORS</v>
      </c>
      <c r="AK163" s="103">
        <f ca="1">IFERROR(__xludf.DUMMYFUNCTION("""COMPUTED_VALUE"""),2)</f>
        <v>2</v>
      </c>
      <c r="AL163" s="103"/>
      <c r="AM163" s="103">
        <f ca="1">IFERROR(__xludf.DUMMYFUNCTION("""COMPUTED_VALUE"""),1)</f>
        <v>1</v>
      </c>
      <c r="AN163" s="103" t="str">
        <f ca="1">IFERROR(__xludf.DUMMYFUNCTION("""COMPUTED_VALUE"""),"P10 6.6mm shorter than pcovs. Buffy tips present")</f>
        <v>P10 6.6mm shorter than pcovs. Buffy tips present</v>
      </c>
      <c r="AO163" s="57" t="str">
        <f ca="1">IFERROR(__xludf.DUMMYFUNCTION("""COMPUTED_VALUE"""),"1B")</f>
        <v>1B</v>
      </c>
      <c r="AP163" s="103">
        <f ca="1">IFERROR(__xludf.DUMMYFUNCTION("""COMPUTED_VALUE"""),1)</f>
        <v>1</v>
      </c>
    </row>
    <row r="164" spans="1:42">
      <c r="A164" s="103">
        <f ca="1">IFERROR(__xludf.DUMMYFUNCTION("""COMPUTED_VALUE"""),2)</f>
        <v>2</v>
      </c>
      <c r="B164" s="103" t="str">
        <f ca="1">IFERROR(__xludf.DUMMYFUNCTION("""COMPUTED_VALUE"""),"GEJ")</f>
        <v>GEJ</v>
      </c>
      <c r="C164" s="103" t="str">
        <f ca="1">IFERROR(__xludf.DUMMYFUNCTION("""COMPUTED_VALUE"""),"N")</f>
        <v>N</v>
      </c>
      <c r="D164" s="103">
        <f ca="1">IFERROR(__xludf.DUMMYFUNCTION("""COMPUTED_VALUE"""),281191242)</f>
        <v>281191242</v>
      </c>
      <c r="E164" s="103" t="str">
        <f ca="1">IFERROR(__xludf.DUMMYFUNCTION("""COMPUTED_VALUE"""),"Purple Finch")</f>
        <v>Purple Finch</v>
      </c>
      <c r="F164" s="103" t="str">
        <f ca="1">IFERROR(__xludf.DUMMYFUNCTION("""COMPUTED_VALUE"""),"PUFI")</f>
        <v>PUFI</v>
      </c>
      <c r="G164" s="103">
        <f ca="1">IFERROR(__xludf.DUMMYFUNCTION("""COMPUTED_VALUE"""),2)</f>
        <v>2</v>
      </c>
      <c r="H164" s="103" t="str">
        <f ca="1">IFERROR(__xludf.DUMMYFUNCTION("""COMPUTED_VALUE"""),"J")</f>
        <v>J</v>
      </c>
      <c r="I164" s="103"/>
      <c r="J164" s="103" t="str">
        <f ca="1">IFERROR(__xludf.DUMMYFUNCTION("""COMPUTED_VALUE"""),"FCJ")</f>
        <v>FCJ</v>
      </c>
      <c r="K164" s="103" t="str">
        <f ca="1">IFERROR(__xludf.DUMMYFUNCTION("""COMPUTED_VALUE"""),"U")</f>
        <v>U</v>
      </c>
      <c r="L164" s="103"/>
      <c r="M164" s="103"/>
      <c r="N164" s="103"/>
      <c r="O164" s="103">
        <f ca="1">IFERROR(__xludf.DUMMYFUNCTION("""COMPUTED_VALUE"""),0)</f>
        <v>0</v>
      </c>
      <c r="P164" s="103">
        <f ca="1">IFERROR(__xludf.DUMMYFUNCTION("""COMPUTED_VALUE"""),0)</f>
        <v>0</v>
      </c>
      <c r="Q164" s="103">
        <f ca="1">IFERROR(__xludf.DUMMYFUNCTION("""COMPUTED_VALUE"""),2)</f>
        <v>2</v>
      </c>
      <c r="R164" s="103">
        <f ca="1">IFERROR(__xludf.DUMMYFUNCTION("""COMPUTED_VALUE"""),0)</f>
        <v>0</v>
      </c>
      <c r="S164" s="103" t="str">
        <f ca="1">IFERROR(__xludf.DUMMYFUNCTION("""COMPUTED_VALUE"""),"N")</f>
        <v>N</v>
      </c>
      <c r="T164" s="103">
        <f ca="1">IFERROR(__xludf.DUMMYFUNCTION("""COMPUTED_VALUE"""),1)</f>
        <v>1</v>
      </c>
      <c r="U164" s="103"/>
      <c r="V164" s="103"/>
      <c r="W164" s="103"/>
      <c r="X164" s="103"/>
      <c r="Y164" s="103"/>
      <c r="Z164" s="103"/>
      <c r="AA164" s="103"/>
      <c r="AB164" s="103"/>
      <c r="AC164" s="103"/>
      <c r="AD164" s="103">
        <f ca="1">IFERROR(__xludf.DUMMYFUNCTION("""COMPUTED_VALUE"""),77)</f>
        <v>77</v>
      </c>
      <c r="AE164" s="103">
        <f ca="1">IFERROR(__xludf.DUMMYFUNCTION("""COMPUTED_VALUE"""),21.6)</f>
        <v>21.6</v>
      </c>
      <c r="AF164" s="103">
        <f ca="1">IFERROR(__xludf.DUMMYFUNCTION("""COMPUTED_VALUE"""),300)</f>
        <v>300</v>
      </c>
      <c r="AG164" s="103">
        <f ca="1">IFERROR(__xludf.DUMMYFUNCTION("""COMPUTED_VALUE"""),7)</f>
        <v>7</v>
      </c>
      <c r="AH164" s="103">
        <f ca="1">IFERROR(__xludf.DUMMYFUNCTION("""COMPUTED_VALUE"""),10)</f>
        <v>10</v>
      </c>
      <c r="AI164" s="103">
        <f ca="1">IFERROR(__xludf.DUMMYFUNCTION("""COMPUTED_VALUE"""),630)</f>
        <v>630</v>
      </c>
      <c r="AJ164" s="103" t="str">
        <f ca="1">IFERROR(__xludf.DUMMYFUNCTION("""COMPUTED_VALUE"""),"MORS")</f>
        <v>MORS</v>
      </c>
      <c r="AK164" s="103">
        <f ca="1">IFERROR(__xludf.DUMMYFUNCTION("""COMPUTED_VALUE"""),15)</f>
        <v>15</v>
      </c>
      <c r="AL164" s="103"/>
      <c r="AM164" s="103"/>
      <c r="AN164" s="103"/>
      <c r="AO164" s="57">
        <f ca="1">IFERROR(__xludf.DUMMYFUNCTION("""COMPUTED_VALUE"""),1)</f>
        <v>1</v>
      </c>
      <c r="AP164" s="103">
        <f ca="1">IFERROR(__xludf.DUMMYFUNCTION("""COMPUTED_VALUE"""),1)</f>
        <v>1</v>
      </c>
    </row>
    <row r="165" spans="1:42">
      <c r="A165" s="103">
        <f ca="1">IFERROR(__xludf.DUMMYFUNCTION("""COMPUTED_VALUE"""),3)</f>
        <v>3</v>
      </c>
      <c r="B165" s="103" t="str">
        <f ca="1">IFERROR(__xludf.DUMMYFUNCTION("""COMPUTED_VALUE"""),"NDS")</f>
        <v>NDS</v>
      </c>
      <c r="C165" s="103" t="str">
        <f ca="1">IFERROR(__xludf.DUMMYFUNCTION("""COMPUTED_VALUE"""),"R")</f>
        <v>R</v>
      </c>
      <c r="D165" s="103">
        <f ca="1">IFERROR(__xludf.DUMMYFUNCTION("""COMPUTED_VALUE"""),283105242)</f>
        <v>283105242</v>
      </c>
      <c r="E165" s="103" t="str">
        <f ca="1">IFERROR(__xludf.DUMMYFUNCTION("""COMPUTED_VALUE"""),"Swainson's Thrush")</f>
        <v>Swainson's Thrush</v>
      </c>
      <c r="F165" s="103" t="str">
        <f ca="1">IFERROR(__xludf.DUMMYFUNCTION("""COMPUTED_VALUE"""),"SWTH")</f>
        <v>SWTH</v>
      </c>
      <c r="G165" s="103">
        <f ca="1">IFERROR(__xludf.DUMMYFUNCTION("""COMPUTED_VALUE"""),1)</f>
        <v>1</v>
      </c>
      <c r="H165" s="103" t="str">
        <f ca="1">IFERROR(__xludf.DUMMYFUNCTION("""COMPUTED_VALUE"""),"P")</f>
        <v>P</v>
      </c>
      <c r="I165" s="103"/>
      <c r="J165" s="103" t="str">
        <f ca="1">IFERROR(__xludf.DUMMYFUNCTION("""COMPUTED_VALUE"""),"UAJ")</f>
        <v>UAJ</v>
      </c>
      <c r="K165" s="103" t="str">
        <f ca="1">IFERROR(__xludf.DUMMYFUNCTION("""COMPUTED_VALUE"""),"F")</f>
        <v>F</v>
      </c>
      <c r="L165" s="103" t="str">
        <f ca="1">IFERROR(__xludf.DUMMYFUNCTION("""COMPUTED_VALUE"""),"B")</f>
        <v>B</v>
      </c>
      <c r="M165" s="103"/>
      <c r="N165" s="103"/>
      <c r="O165" s="103">
        <f ca="1">IFERROR(__xludf.DUMMYFUNCTION("""COMPUTED_VALUE"""),0)</f>
        <v>0</v>
      </c>
      <c r="P165" s="103">
        <f ca="1">IFERROR(__xludf.DUMMYFUNCTION("""COMPUTED_VALUE"""),2)</f>
        <v>2</v>
      </c>
      <c r="Q165" s="103">
        <f ca="1">IFERROR(__xludf.DUMMYFUNCTION("""COMPUTED_VALUE"""),1)</f>
        <v>1</v>
      </c>
      <c r="R165" s="103">
        <f ca="1">IFERROR(__xludf.DUMMYFUNCTION("""COMPUTED_VALUE"""),0)</f>
        <v>0</v>
      </c>
      <c r="S165" s="103" t="str">
        <f ca="1">IFERROR(__xludf.DUMMYFUNCTION("""COMPUTED_VALUE"""),"N")</f>
        <v>N</v>
      </c>
      <c r="T165" s="103">
        <f ca="1">IFERROR(__xludf.DUMMYFUNCTION("""COMPUTED_VALUE"""),1)</f>
        <v>1</v>
      </c>
      <c r="U165" s="103"/>
      <c r="V165" s="103" t="str">
        <f ca="1">IFERROR(__xludf.DUMMYFUNCTION("""COMPUTED_VALUE"""),"B")</f>
        <v>B</v>
      </c>
      <c r="W165" s="103"/>
      <c r="X165" s="103" t="str">
        <f ca="1">IFERROR(__xludf.DUMMYFUNCTION("""COMPUTED_VALUE"""),"U")</f>
        <v>U</v>
      </c>
      <c r="Y165" s="103"/>
      <c r="Z165" s="103"/>
      <c r="AA165" s="103" t="str">
        <f ca="1">IFERROR(__xludf.DUMMYFUNCTION("""COMPUTED_VALUE"""),"B")</f>
        <v>B</v>
      </c>
      <c r="AB165" s="103"/>
      <c r="AC165" s="103"/>
      <c r="AD165" s="103">
        <f ca="1">IFERROR(__xludf.DUMMYFUNCTION("""COMPUTED_VALUE"""),93)</f>
        <v>93</v>
      </c>
      <c r="AE165" s="103">
        <f ca="1">IFERROR(__xludf.DUMMYFUNCTION("""COMPUTED_VALUE"""),31.1)</f>
        <v>31.1</v>
      </c>
      <c r="AF165" s="103">
        <f ca="1">IFERROR(__xludf.DUMMYFUNCTION("""COMPUTED_VALUE"""),300)</f>
        <v>300</v>
      </c>
      <c r="AG165" s="103">
        <f ca="1">IFERROR(__xludf.DUMMYFUNCTION("""COMPUTED_VALUE"""),7)</f>
        <v>7</v>
      </c>
      <c r="AH165" s="103">
        <f ca="1">IFERROR(__xludf.DUMMYFUNCTION("""COMPUTED_VALUE"""),10)</f>
        <v>10</v>
      </c>
      <c r="AI165" s="103">
        <f ca="1">IFERROR(__xludf.DUMMYFUNCTION("""COMPUTED_VALUE"""),7)</f>
        <v>7</v>
      </c>
      <c r="AJ165" s="103" t="str">
        <f ca="1">IFERROR(__xludf.DUMMYFUNCTION("""COMPUTED_VALUE"""),"MORS")</f>
        <v>MORS</v>
      </c>
      <c r="AK165" s="103">
        <f ca="1">IFERROR(__xludf.DUMMYFUNCTION("""COMPUTED_VALUE"""),6)</f>
        <v>6</v>
      </c>
      <c r="AL165" s="103"/>
      <c r="AM165" s="103">
        <f ca="1">IFERROR(__xludf.DUMMYFUNCTION("""COMPUTED_VALUE"""),2)</f>
        <v>2</v>
      </c>
      <c r="AN165" s="103" t="str">
        <f ca="1">IFERROR(__xludf.DUMMYFUNCTION("""COMPUTED_VALUE"""),"P10 4.5mm shorter than pcovs")</f>
        <v>P10 4.5mm shorter than pcovs</v>
      </c>
      <c r="AO165" s="57" t="str">
        <f ca="1">IFERROR(__xludf.DUMMYFUNCTION("""COMPUTED_VALUE"""),"R")</f>
        <v>R</v>
      </c>
      <c r="AP165" s="103">
        <f ca="1">IFERROR(__xludf.DUMMYFUNCTION("""COMPUTED_VALUE"""),1)</f>
        <v>1</v>
      </c>
    </row>
    <row r="166" spans="1:42">
      <c r="A166" s="103">
        <f ca="1">IFERROR(__xludf.DUMMYFUNCTION("""COMPUTED_VALUE"""),4)</f>
        <v>4</v>
      </c>
      <c r="B166" s="103" t="str">
        <f ca="1">IFERROR(__xludf.DUMMYFUNCTION("""COMPUTED_VALUE"""),"GEJ")</f>
        <v>GEJ</v>
      </c>
      <c r="C166" s="103" t="str">
        <f ca="1">IFERROR(__xludf.DUMMYFUNCTION("""COMPUTED_VALUE"""),"R")</f>
        <v>R</v>
      </c>
      <c r="D166" s="103">
        <f ca="1">IFERROR(__xludf.DUMMYFUNCTION("""COMPUTED_VALUE"""),172176232)</f>
        <v>172176232</v>
      </c>
      <c r="E166" s="103" t="str">
        <f ca="1">IFERROR(__xludf.DUMMYFUNCTION("""COMPUTED_VALUE"""),"Song Sparrow")</f>
        <v>Song Sparrow</v>
      </c>
      <c r="F166" s="103" t="str">
        <f ca="1">IFERROR(__xludf.DUMMYFUNCTION("""COMPUTED_VALUE"""),"SOSP")</f>
        <v>SOSP</v>
      </c>
      <c r="G166" s="103">
        <f ca="1">IFERROR(__xludf.DUMMYFUNCTION("""COMPUTED_VALUE"""),1)</f>
        <v>1</v>
      </c>
      <c r="H166" s="103" t="str">
        <f ca="1">IFERROR(__xludf.DUMMYFUNCTION("""COMPUTED_VALUE"""),"M")</f>
        <v>M</v>
      </c>
      <c r="I166" s="103" t="str">
        <f ca="1">IFERROR(__xludf.DUMMYFUNCTION("""COMPUTED_VALUE"""),"P")</f>
        <v>P</v>
      </c>
      <c r="J166" s="103" t="str">
        <f ca="1">IFERROR(__xludf.DUMMYFUNCTION("""COMPUTED_VALUE"""),"UPB")</f>
        <v>UPB</v>
      </c>
      <c r="K166" s="103" t="str">
        <f ca="1">IFERROR(__xludf.DUMMYFUNCTION("""COMPUTED_VALUE"""),"M")</f>
        <v>M</v>
      </c>
      <c r="L166" s="103" t="str">
        <f ca="1">IFERROR(__xludf.DUMMYFUNCTION("""COMPUTED_VALUE"""),"C")</f>
        <v>C</v>
      </c>
      <c r="M166" s="103"/>
      <c r="N166" s="103"/>
      <c r="O166" s="103">
        <f ca="1">IFERROR(__xludf.DUMMYFUNCTION("""COMPUTED_VALUE"""),2)</f>
        <v>2</v>
      </c>
      <c r="P166" s="103">
        <f ca="1">IFERROR(__xludf.DUMMYFUNCTION("""COMPUTED_VALUE"""),0)</f>
        <v>0</v>
      </c>
      <c r="Q166" s="103">
        <f ca="1">IFERROR(__xludf.DUMMYFUNCTION("""COMPUTED_VALUE"""),1)</f>
        <v>1</v>
      </c>
      <c r="R166" s="103">
        <f ca="1">IFERROR(__xludf.DUMMYFUNCTION("""COMPUTED_VALUE"""),0)</f>
        <v>0</v>
      </c>
      <c r="S166" s="103" t="str">
        <f ca="1">IFERROR(__xludf.DUMMYFUNCTION("""COMPUTED_VALUE"""),"S")</f>
        <v>S</v>
      </c>
      <c r="T166" s="103">
        <f ca="1">IFERROR(__xludf.DUMMYFUNCTION("""COMPUTED_VALUE"""),2)</f>
        <v>2</v>
      </c>
      <c r="U166" s="103"/>
      <c r="V166" s="103"/>
      <c r="W166" s="103"/>
      <c r="X166" s="103"/>
      <c r="Y166" s="103"/>
      <c r="Z166" s="103"/>
      <c r="AA166" s="103"/>
      <c r="AB166" s="103"/>
      <c r="AC166" s="103"/>
      <c r="AD166" s="103">
        <f ca="1">IFERROR(__xludf.DUMMYFUNCTION("""COMPUTED_VALUE"""),66)</f>
        <v>66</v>
      </c>
      <c r="AE166" s="103">
        <f ca="1">IFERROR(__xludf.DUMMYFUNCTION("""COMPUTED_VALUE"""),25.2)</f>
        <v>25.2</v>
      </c>
      <c r="AF166" s="103">
        <f ca="1">IFERROR(__xludf.DUMMYFUNCTION("""COMPUTED_VALUE"""),300)</f>
        <v>300</v>
      </c>
      <c r="AG166" s="103">
        <f ca="1">IFERROR(__xludf.DUMMYFUNCTION("""COMPUTED_VALUE"""),7)</f>
        <v>7</v>
      </c>
      <c r="AH166" s="103">
        <f ca="1">IFERROR(__xludf.DUMMYFUNCTION("""COMPUTED_VALUE"""),10)</f>
        <v>10</v>
      </c>
      <c r="AI166" s="103">
        <f ca="1">IFERROR(__xludf.DUMMYFUNCTION("""COMPUTED_VALUE"""),7)</f>
        <v>7</v>
      </c>
      <c r="AJ166" s="103" t="str">
        <f ca="1">IFERROR(__xludf.DUMMYFUNCTION("""COMPUTED_VALUE"""),"MORS")</f>
        <v>MORS</v>
      </c>
      <c r="AK166" s="103">
        <f ca="1">IFERROR(__xludf.DUMMYFUNCTION("""COMPUTED_VALUE"""),21)</f>
        <v>21</v>
      </c>
      <c r="AL166" s="103"/>
      <c r="AM166" s="103">
        <f ca="1">IFERROR(__xludf.DUMMYFUNCTION("""COMPUTED_VALUE"""),3)</f>
        <v>3</v>
      </c>
      <c r="AN166" s="103" t="str">
        <f ca="1">IFERROR(__xludf.DUMMYFUNCTION("""COMPUTED_VALUE"""),"P2-4 in molt")</f>
        <v>P2-4 in molt</v>
      </c>
      <c r="AO166" s="57" t="str">
        <f ca="1">IFERROR(__xludf.DUMMYFUNCTION("""COMPUTED_VALUE"""),"R")</f>
        <v>R</v>
      </c>
      <c r="AP166" s="103">
        <f ca="1">IFERROR(__xludf.DUMMYFUNCTION("""COMPUTED_VALUE"""),1)</f>
        <v>1</v>
      </c>
    </row>
    <row r="167" spans="1:42">
      <c r="A167" s="103">
        <f ca="1">IFERROR(__xludf.DUMMYFUNCTION("""COMPUTED_VALUE"""),5)</f>
        <v>5</v>
      </c>
      <c r="B167" s="103" t="str">
        <f ca="1">IFERROR(__xludf.DUMMYFUNCTION("""COMPUTED_VALUE"""),"NDS")</f>
        <v>NDS</v>
      </c>
      <c r="C167" s="103" t="str">
        <f ca="1">IFERROR(__xludf.DUMMYFUNCTION("""COMPUTED_VALUE"""),"R")</f>
        <v>R</v>
      </c>
      <c r="D167" s="103">
        <f ca="1">IFERROR(__xludf.DUMMYFUNCTION("""COMPUTED_VALUE"""),283105241)</f>
        <v>283105241</v>
      </c>
      <c r="E167" s="103" t="str">
        <f ca="1">IFERROR(__xludf.DUMMYFUNCTION("""COMPUTED_VALUE"""),"Swainson's Thrush")</f>
        <v>Swainson's Thrush</v>
      </c>
      <c r="F167" s="103" t="str">
        <f ca="1">IFERROR(__xludf.DUMMYFUNCTION("""COMPUTED_VALUE"""),"SWTH")</f>
        <v>SWTH</v>
      </c>
      <c r="G167" s="103">
        <f ca="1">IFERROR(__xludf.DUMMYFUNCTION("""COMPUTED_VALUE"""),1)</f>
        <v>1</v>
      </c>
      <c r="H167" s="103" t="str">
        <f ca="1">IFERROR(__xludf.DUMMYFUNCTION("""COMPUTED_VALUE"""),"C")</f>
        <v>C</v>
      </c>
      <c r="I167" s="103" t="str">
        <f ca="1">IFERROR(__xludf.DUMMYFUNCTION("""COMPUTED_VALUE"""),"P")</f>
        <v>P</v>
      </c>
      <c r="J167" s="103" t="str">
        <f ca="1">IFERROR(__xludf.DUMMYFUNCTION("""COMPUTED_VALUE"""),"UAJ")</f>
        <v>UAJ</v>
      </c>
      <c r="K167" s="103" t="str">
        <f ca="1">IFERROR(__xludf.DUMMYFUNCTION("""COMPUTED_VALUE"""),"M")</f>
        <v>M</v>
      </c>
      <c r="L167" s="103" t="str">
        <f ca="1">IFERROR(__xludf.DUMMYFUNCTION("""COMPUTED_VALUE"""),"C")</f>
        <v>C</v>
      </c>
      <c r="M167" s="103"/>
      <c r="N167" s="103"/>
      <c r="O167" s="103">
        <f ca="1">IFERROR(__xludf.DUMMYFUNCTION("""COMPUTED_VALUE"""),3)</f>
        <v>3</v>
      </c>
      <c r="P167" s="103">
        <f ca="1">IFERROR(__xludf.DUMMYFUNCTION("""COMPUTED_VALUE"""),0)</f>
        <v>0</v>
      </c>
      <c r="Q167" s="103">
        <f ca="1">IFERROR(__xludf.DUMMYFUNCTION("""COMPUTED_VALUE"""),0)</f>
        <v>0</v>
      </c>
      <c r="R167" s="103">
        <f ca="1">IFERROR(__xludf.DUMMYFUNCTION("""COMPUTED_VALUE"""),0)</f>
        <v>0</v>
      </c>
      <c r="S167" s="103" t="str">
        <f ca="1">IFERROR(__xludf.DUMMYFUNCTION("""COMPUTED_VALUE"""),"N")</f>
        <v>N</v>
      </c>
      <c r="T167" s="103">
        <f ca="1">IFERROR(__xludf.DUMMYFUNCTION("""COMPUTED_VALUE"""),2)</f>
        <v>2</v>
      </c>
      <c r="U167" s="103"/>
      <c r="V167" s="103"/>
      <c r="W167" s="103"/>
      <c r="X167" s="103"/>
      <c r="Y167" s="103"/>
      <c r="Z167" s="103"/>
      <c r="AA167" s="103"/>
      <c r="AB167" s="103"/>
      <c r="AC167" s="103"/>
      <c r="AD167" s="103">
        <f ca="1">IFERROR(__xludf.DUMMYFUNCTION("""COMPUTED_VALUE"""),94)</f>
        <v>94</v>
      </c>
      <c r="AE167" s="103">
        <f ca="1">IFERROR(__xludf.DUMMYFUNCTION("""COMPUTED_VALUE"""),29.2)</f>
        <v>29.2</v>
      </c>
      <c r="AF167" s="103">
        <f ca="1">IFERROR(__xludf.DUMMYFUNCTION("""COMPUTED_VALUE"""),300)</f>
        <v>300</v>
      </c>
      <c r="AG167" s="103">
        <f ca="1">IFERROR(__xludf.DUMMYFUNCTION("""COMPUTED_VALUE"""),7)</f>
        <v>7</v>
      </c>
      <c r="AH167" s="103">
        <f ca="1">IFERROR(__xludf.DUMMYFUNCTION("""COMPUTED_VALUE"""),10)</f>
        <v>10</v>
      </c>
      <c r="AI167" s="103">
        <f ca="1">IFERROR(__xludf.DUMMYFUNCTION("""COMPUTED_VALUE"""),740)</f>
        <v>740</v>
      </c>
      <c r="AJ167" s="103" t="str">
        <f ca="1">IFERROR(__xludf.DUMMYFUNCTION("""COMPUTED_VALUE"""),"MORS")</f>
        <v>MORS</v>
      </c>
      <c r="AK167" s="103">
        <f ca="1">IFERROR(__xludf.DUMMYFUNCTION("""COMPUTED_VALUE"""),14)</f>
        <v>14</v>
      </c>
      <c r="AL167" s="103"/>
      <c r="AM167" s="103"/>
      <c r="AN167" s="103"/>
      <c r="AO167" s="57" t="str">
        <f ca="1">IFERROR(__xludf.DUMMYFUNCTION("""COMPUTED_VALUE"""),"R")</f>
        <v>R</v>
      </c>
      <c r="AP167" s="103">
        <f ca="1">IFERROR(__xludf.DUMMYFUNCTION("""COMPUTED_VALUE"""),1)</f>
        <v>1</v>
      </c>
    </row>
    <row r="168" spans="1:42">
      <c r="A168" s="103">
        <f ca="1">IFERROR(__xludf.DUMMYFUNCTION("""COMPUTED_VALUE"""),6)</f>
        <v>6</v>
      </c>
      <c r="B168" s="103" t="str">
        <f ca="1">IFERROR(__xludf.DUMMYFUNCTION("""COMPUTED_VALUE"""),"GEJ")</f>
        <v>GEJ</v>
      </c>
      <c r="C168" s="103" t="str">
        <f ca="1">IFERROR(__xludf.DUMMYFUNCTION("""COMPUTED_VALUE"""),"N")</f>
        <v>N</v>
      </c>
      <c r="D168" s="103">
        <f ca="1">IFERROR(__xludf.DUMMYFUNCTION("""COMPUTED_VALUE"""),290077844)</f>
        <v>290077844</v>
      </c>
      <c r="E168" s="103" t="str">
        <f ca="1">IFERROR(__xludf.DUMMYFUNCTION("""COMPUTED_VALUE"""),"Bushtit")</f>
        <v>Bushtit</v>
      </c>
      <c r="F168" s="103" t="str">
        <f ca="1">IFERROR(__xludf.DUMMYFUNCTION("""COMPUTED_VALUE"""),"BUSH")</f>
        <v>BUSH</v>
      </c>
      <c r="G168" s="103">
        <f ca="1">IFERROR(__xludf.DUMMYFUNCTION("""COMPUTED_VALUE"""),2)</f>
        <v>2</v>
      </c>
      <c r="H168" s="103" t="str">
        <f ca="1">IFERROR(__xludf.DUMMYFUNCTION("""COMPUTED_VALUE"""),"S")</f>
        <v>S</v>
      </c>
      <c r="I168" s="103"/>
      <c r="J168" s="103" t="str">
        <f ca="1">IFERROR(__xludf.DUMMYFUNCTION("""COMPUTED_VALUE"""),"FCJ")</f>
        <v>FCJ</v>
      </c>
      <c r="K168" s="103" t="str">
        <f ca="1">IFERROR(__xludf.DUMMYFUNCTION("""COMPUTED_VALUE"""),"F")</f>
        <v>F</v>
      </c>
      <c r="L168" s="103" t="str">
        <f ca="1">IFERROR(__xludf.DUMMYFUNCTION("""COMPUTED_VALUE"""),"E")</f>
        <v>E</v>
      </c>
      <c r="M168" s="103"/>
      <c r="N168" s="103"/>
      <c r="O168" s="103">
        <f ca="1">IFERROR(__xludf.DUMMYFUNCTION("""COMPUTED_VALUE"""),0)</f>
        <v>0</v>
      </c>
      <c r="P168" s="103"/>
      <c r="Q168" s="103">
        <f ca="1">IFERROR(__xludf.DUMMYFUNCTION("""COMPUTED_VALUE"""),2)</f>
        <v>2</v>
      </c>
      <c r="R168" s="103">
        <f ca="1">IFERROR(__xludf.DUMMYFUNCTION("""COMPUTED_VALUE"""),0)</f>
        <v>0</v>
      </c>
      <c r="S168" s="103" t="str">
        <f ca="1">IFERROR(__xludf.DUMMYFUNCTION("""COMPUTED_VALUE"""),"N")</f>
        <v>N</v>
      </c>
      <c r="T168" s="103">
        <f ca="1">IFERROR(__xludf.DUMMYFUNCTION("""COMPUTED_VALUE"""),2)</f>
        <v>2</v>
      </c>
      <c r="U168" s="103"/>
      <c r="V168" s="103"/>
      <c r="W168" s="103"/>
      <c r="X168" s="103"/>
      <c r="Y168" s="103"/>
      <c r="Z168" s="103"/>
      <c r="AA168" s="103"/>
      <c r="AB168" s="103"/>
      <c r="AC168" s="103"/>
      <c r="AD168" s="103">
        <f ca="1">IFERROR(__xludf.DUMMYFUNCTION("""COMPUTED_VALUE"""),45)</f>
        <v>45</v>
      </c>
      <c r="AE168" s="103">
        <f ca="1">IFERROR(__xludf.DUMMYFUNCTION("""COMPUTED_VALUE"""),5.2)</f>
        <v>5.2</v>
      </c>
      <c r="AF168" s="103">
        <f ca="1">IFERROR(__xludf.DUMMYFUNCTION("""COMPUTED_VALUE"""),300)</f>
        <v>300</v>
      </c>
      <c r="AG168" s="103">
        <f ca="1">IFERROR(__xludf.DUMMYFUNCTION("""COMPUTED_VALUE"""),7)</f>
        <v>7</v>
      </c>
      <c r="AH168" s="103">
        <f ca="1">IFERROR(__xludf.DUMMYFUNCTION("""COMPUTED_VALUE"""),10)</f>
        <v>10</v>
      </c>
      <c r="AI168" s="103">
        <f ca="1">IFERROR(__xludf.DUMMYFUNCTION("""COMPUTED_VALUE"""),740)</f>
        <v>740</v>
      </c>
      <c r="AJ168" s="103" t="str">
        <f ca="1">IFERROR(__xludf.DUMMYFUNCTION("""COMPUTED_VALUE"""),"MORS")</f>
        <v>MORS</v>
      </c>
      <c r="AK168" s="103">
        <f ca="1">IFERROR(__xludf.DUMMYFUNCTION("""COMPUTED_VALUE"""),6)</f>
        <v>6</v>
      </c>
      <c r="AL168" s="103"/>
      <c r="AM168" s="103"/>
      <c r="AN168" s="103"/>
      <c r="AO168" s="57" t="str">
        <f ca="1">IFERROR(__xludf.DUMMYFUNCTION("""COMPUTED_VALUE"""),"0A")</f>
        <v>0A</v>
      </c>
      <c r="AP168" s="103">
        <f ca="1">IFERROR(__xludf.DUMMYFUNCTION("""COMPUTED_VALUE"""),1)</f>
        <v>1</v>
      </c>
    </row>
    <row r="169" spans="1:42">
      <c r="A169" s="103">
        <f ca="1">IFERROR(__xludf.DUMMYFUNCTION("""COMPUTED_VALUE"""),7)</f>
        <v>7</v>
      </c>
      <c r="B169" s="103" t="str">
        <f ca="1">IFERROR(__xludf.DUMMYFUNCTION("""COMPUTED_VALUE"""),"NDS")</f>
        <v>NDS</v>
      </c>
      <c r="C169" s="103" t="str">
        <f ca="1">IFERROR(__xludf.DUMMYFUNCTION("""COMPUTED_VALUE"""),"N")</f>
        <v>N</v>
      </c>
      <c r="D169" s="103">
        <f ca="1">IFERROR(__xludf.DUMMYFUNCTION("""COMPUTED_VALUE"""),290077845)</f>
        <v>290077845</v>
      </c>
      <c r="E169" s="103" t="str">
        <f ca="1">IFERROR(__xludf.DUMMYFUNCTION("""COMPUTED_VALUE"""),"Bushtit")</f>
        <v>Bushtit</v>
      </c>
      <c r="F169" s="103" t="str">
        <f ca="1">IFERROR(__xludf.DUMMYFUNCTION("""COMPUTED_VALUE"""),"BUSH")</f>
        <v>BUSH</v>
      </c>
      <c r="G169" s="103">
        <f ca="1">IFERROR(__xludf.DUMMYFUNCTION("""COMPUTED_VALUE"""),2)</f>
        <v>2</v>
      </c>
      <c r="H169" s="103" t="str">
        <f ca="1">IFERROR(__xludf.DUMMYFUNCTION("""COMPUTED_VALUE"""),"S")</f>
        <v>S</v>
      </c>
      <c r="I169" s="103"/>
      <c r="J169" s="103" t="str">
        <f ca="1">IFERROR(__xludf.DUMMYFUNCTION("""COMPUTED_VALUE"""),"FPF")</f>
        <v>FPF</v>
      </c>
      <c r="K169" s="103" t="str">
        <f ca="1">IFERROR(__xludf.DUMMYFUNCTION("""COMPUTED_VALUE"""),"F")</f>
        <v>F</v>
      </c>
      <c r="L169" s="103" t="str">
        <f ca="1">IFERROR(__xludf.DUMMYFUNCTION("""COMPUTED_VALUE"""),"E")</f>
        <v>E</v>
      </c>
      <c r="M169" s="103"/>
      <c r="N169" s="103"/>
      <c r="O169" s="103">
        <f ca="1">IFERROR(__xludf.DUMMYFUNCTION("""COMPUTED_VALUE"""),0)</f>
        <v>0</v>
      </c>
      <c r="P169" s="103">
        <f ca="1">IFERROR(__xludf.DUMMYFUNCTION("""COMPUTED_VALUE"""),0)</f>
        <v>0</v>
      </c>
      <c r="Q169" s="103">
        <f ca="1">IFERROR(__xludf.DUMMYFUNCTION("""COMPUTED_VALUE"""),3)</f>
        <v>3</v>
      </c>
      <c r="R169" s="103">
        <f ca="1">IFERROR(__xludf.DUMMYFUNCTION("""COMPUTED_VALUE"""),2)</f>
        <v>2</v>
      </c>
      <c r="S169" s="103" t="str">
        <f ca="1">IFERROR(__xludf.DUMMYFUNCTION("""COMPUTED_VALUE"""),"N")</f>
        <v>N</v>
      </c>
      <c r="T169" s="103">
        <f ca="1">IFERROR(__xludf.DUMMYFUNCTION("""COMPUTED_VALUE"""),1)</f>
        <v>1</v>
      </c>
      <c r="U169" s="103"/>
      <c r="V169" s="103"/>
      <c r="W169" s="103"/>
      <c r="X169" s="103" t="str">
        <f ca="1">IFERROR(__xludf.DUMMYFUNCTION("""COMPUTED_VALUE"""),"J")</f>
        <v>J</v>
      </c>
      <c r="Y169" s="103"/>
      <c r="Z169" s="103"/>
      <c r="AA169" s="103"/>
      <c r="AB169" s="103"/>
      <c r="AC169" s="103"/>
      <c r="AD169" s="103">
        <f ca="1">IFERROR(__xludf.DUMMYFUNCTION("""COMPUTED_VALUE"""),45)</f>
        <v>45</v>
      </c>
      <c r="AE169" s="103">
        <f ca="1">IFERROR(__xludf.DUMMYFUNCTION("""COMPUTED_VALUE"""),5.2)</f>
        <v>5.2</v>
      </c>
      <c r="AF169" s="103">
        <f ca="1">IFERROR(__xludf.DUMMYFUNCTION("""COMPUTED_VALUE"""),300)</f>
        <v>300</v>
      </c>
      <c r="AG169" s="103">
        <f ca="1">IFERROR(__xludf.DUMMYFUNCTION("""COMPUTED_VALUE"""),7)</f>
        <v>7</v>
      </c>
      <c r="AH169" s="103">
        <f ca="1">IFERROR(__xludf.DUMMYFUNCTION("""COMPUTED_VALUE"""),10)</f>
        <v>10</v>
      </c>
      <c r="AI169" s="103">
        <f ca="1">IFERROR(__xludf.DUMMYFUNCTION("""COMPUTED_VALUE"""),740)</f>
        <v>740</v>
      </c>
      <c r="AJ169" s="103" t="str">
        <f ca="1">IFERROR(__xludf.DUMMYFUNCTION("""COMPUTED_VALUE"""),"MORS")</f>
        <v>MORS</v>
      </c>
      <c r="AK169" s="103">
        <f ca="1">IFERROR(__xludf.DUMMYFUNCTION("""COMPUTED_VALUE"""),6)</f>
        <v>6</v>
      </c>
      <c r="AL169" s="103"/>
      <c r="AM169" s="103"/>
      <c r="AN169" s="103"/>
      <c r="AO169" s="57" t="str">
        <f ca="1">IFERROR(__xludf.DUMMYFUNCTION("""COMPUTED_VALUE"""),"0A")</f>
        <v>0A</v>
      </c>
      <c r="AP169" s="103">
        <f ca="1">IFERROR(__xludf.DUMMYFUNCTION("""COMPUTED_VALUE"""),1)</f>
        <v>1</v>
      </c>
    </row>
    <row r="170" spans="1:42">
      <c r="A170" s="103">
        <f ca="1">IFERROR(__xludf.DUMMYFUNCTION("""COMPUTED_VALUE"""),8)</f>
        <v>8</v>
      </c>
      <c r="B170" s="103" t="str">
        <f ca="1">IFERROR(__xludf.DUMMYFUNCTION("""COMPUTED_VALUE"""),"NDS")</f>
        <v>NDS</v>
      </c>
      <c r="C170" s="103" t="str">
        <f ca="1">IFERROR(__xludf.DUMMYFUNCTION("""COMPUTED_VALUE"""),"U")</f>
        <v>U</v>
      </c>
      <c r="D170" s="103"/>
      <c r="E170" s="103" t="str">
        <f ca="1">IFERROR(__xludf.DUMMYFUNCTION("""COMPUTED_VALUE"""),"Anna's Hummingbird")</f>
        <v>Anna's Hummingbird</v>
      </c>
      <c r="F170" s="103" t="str">
        <f ca="1">IFERROR(__xludf.DUMMYFUNCTION("""COMPUTED_VALUE"""),"ANHU")</f>
        <v>ANHU</v>
      </c>
      <c r="G170" s="103">
        <f ca="1">IFERROR(__xludf.DUMMYFUNCTION("""COMPUTED_VALUE"""),2)</f>
        <v>2</v>
      </c>
      <c r="H170" s="103" t="str">
        <f ca="1">IFERROR(__xludf.DUMMYFUNCTION("""COMPUTED_VALUE"""),"I")</f>
        <v>I</v>
      </c>
      <c r="I170" s="103" t="str">
        <f ca="1">IFERROR(__xludf.DUMMYFUNCTION("""COMPUTED_VALUE"""),"J")</f>
        <v>J</v>
      </c>
      <c r="J170" s="103" t="str">
        <f ca="1">IFERROR(__xludf.DUMMYFUNCTION("""COMPUTED_VALUE"""),"FPF")</f>
        <v>FPF</v>
      </c>
      <c r="K170" s="103" t="str">
        <f ca="1">IFERROR(__xludf.DUMMYFUNCTION("""COMPUTED_VALUE"""),"M")</f>
        <v>M</v>
      </c>
      <c r="L170" s="103" t="str">
        <f ca="1">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 ca="1">IFERROR(__xludf.DUMMYFUNCTION("""COMPUTED_VALUE"""),7)</f>
        <v>7</v>
      </c>
      <c r="AH170" s="103">
        <f ca="1">IFERROR(__xludf.DUMMYFUNCTION("""COMPUTED_VALUE"""),10)</f>
        <v>10</v>
      </c>
      <c r="AI170" s="103">
        <f ca="1">IFERROR(__xludf.DUMMYFUNCTION("""COMPUTED_VALUE"""),8)</f>
        <v>8</v>
      </c>
      <c r="AJ170" s="103" t="str">
        <f ca="1">IFERROR(__xludf.DUMMYFUNCTION("""COMPUTED_VALUE"""),"MORS")</f>
        <v>MORS</v>
      </c>
      <c r="AK170" s="103">
        <f ca="1">IFERROR(__xludf.DUMMYFUNCTION("""COMPUTED_VALUE"""),15)</f>
        <v>15</v>
      </c>
      <c r="AL170" s="103"/>
      <c r="AM170" s="103"/>
      <c r="AN170" s="103"/>
      <c r="AO170" s="57" t="str">
        <f ca="1">IFERROR(__xludf.DUMMYFUNCTION("""COMPUTED_VALUE"""),"U")</f>
        <v>U</v>
      </c>
      <c r="AP170" s="103">
        <f ca="1">IFERROR(__xludf.DUMMYFUNCTION("""COMPUTED_VALUE"""),1)</f>
        <v>1</v>
      </c>
    </row>
    <row r="171" spans="1:42">
      <c r="A171" s="103">
        <f ca="1">IFERROR(__xludf.DUMMYFUNCTION("""COMPUTED_VALUE"""),9)</f>
        <v>9</v>
      </c>
      <c r="B171" s="103" t="str">
        <f ca="1">IFERROR(__xludf.DUMMYFUNCTION("""COMPUTED_VALUE"""),"NDS")</f>
        <v>NDS</v>
      </c>
      <c r="C171" s="103" t="str">
        <f ca="1">IFERROR(__xludf.DUMMYFUNCTION("""COMPUTED_VALUE"""),"R")</f>
        <v>R</v>
      </c>
      <c r="D171" s="103">
        <f ca="1">IFERROR(__xludf.DUMMYFUNCTION("""COMPUTED_VALUE"""),271150876)</f>
        <v>271150876</v>
      </c>
      <c r="E171" s="103" t="str">
        <f ca="1">IFERROR(__xludf.DUMMYFUNCTION("""COMPUTED_VALUE"""),"Song Sparrow")</f>
        <v>Song Sparrow</v>
      </c>
      <c r="F171" s="103" t="str">
        <f ca="1">IFERROR(__xludf.DUMMYFUNCTION("""COMPUTED_VALUE"""),"SOSP")</f>
        <v>SOSP</v>
      </c>
      <c r="G171" s="103">
        <f ca="1">IFERROR(__xludf.DUMMYFUNCTION("""COMPUTED_VALUE"""),1)</f>
        <v>1</v>
      </c>
      <c r="H171" s="103" t="str">
        <f ca="1">IFERROR(__xludf.DUMMYFUNCTION("""COMPUTED_VALUE"""),"B")</f>
        <v>B</v>
      </c>
      <c r="I171" s="103" t="str">
        <f ca="1">IFERROR(__xludf.DUMMYFUNCTION("""COMPUTED_VALUE"""),"P")</f>
        <v>P</v>
      </c>
      <c r="J171" s="103" t="str">
        <f ca="1">IFERROR(__xludf.DUMMYFUNCTION("""COMPUTED_VALUE"""),"UAJ")</f>
        <v>UAJ</v>
      </c>
      <c r="K171" s="103" t="str">
        <f ca="1">IFERROR(__xludf.DUMMYFUNCTION("""COMPUTED_VALUE"""),"F")</f>
        <v>F</v>
      </c>
      <c r="L171" s="103" t="str">
        <f ca="1">IFERROR(__xludf.DUMMYFUNCTION("""COMPUTED_VALUE"""),"B")</f>
        <v>B</v>
      </c>
      <c r="M171" s="103"/>
      <c r="N171" s="103"/>
      <c r="O171" s="103">
        <f ca="1">IFERROR(__xludf.DUMMYFUNCTION("""COMPUTED_VALUE"""),0)</f>
        <v>0</v>
      </c>
      <c r="P171" s="103">
        <f ca="1">IFERROR(__xludf.DUMMYFUNCTION("""COMPUTED_VALUE"""),3)</f>
        <v>3</v>
      </c>
      <c r="Q171" s="103">
        <f ca="1">IFERROR(__xludf.DUMMYFUNCTION("""COMPUTED_VALUE"""),1)</f>
        <v>1</v>
      </c>
      <c r="R171" s="103">
        <f ca="1">IFERROR(__xludf.DUMMYFUNCTION("""COMPUTED_VALUE"""),0)</f>
        <v>0</v>
      </c>
      <c r="S171" s="103" t="str">
        <f ca="1">IFERROR(__xludf.DUMMYFUNCTION("""COMPUTED_VALUE"""),"N")</f>
        <v>N</v>
      </c>
      <c r="T171" s="103">
        <f ca="1">IFERROR(__xludf.DUMMYFUNCTION("""COMPUTED_VALUE"""),2)</f>
        <v>2</v>
      </c>
      <c r="U171" s="103"/>
      <c r="V171" s="103"/>
      <c r="W171" s="103"/>
      <c r="X171" s="103"/>
      <c r="Y171" s="103"/>
      <c r="Z171" s="103"/>
      <c r="AA171" s="103"/>
      <c r="AB171" s="103"/>
      <c r="AC171" s="103"/>
      <c r="AD171" s="103">
        <f ca="1">IFERROR(__xludf.DUMMYFUNCTION("""COMPUTED_VALUE"""),60)</f>
        <v>60</v>
      </c>
      <c r="AE171" s="103">
        <f ca="1">IFERROR(__xludf.DUMMYFUNCTION("""COMPUTED_VALUE"""),20.1)</f>
        <v>20.100000000000001</v>
      </c>
      <c r="AF171" s="103">
        <f ca="1">IFERROR(__xludf.DUMMYFUNCTION("""COMPUTED_VALUE"""),300)</f>
        <v>300</v>
      </c>
      <c r="AG171" s="103">
        <f ca="1">IFERROR(__xludf.DUMMYFUNCTION("""COMPUTED_VALUE"""),7)</f>
        <v>7</v>
      </c>
      <c r="AH171" s="103">
        <f ca="1">IFERROR(__xludf.DUMMYFUNCTION("""COMPUTED_VALUE"""),10)</f>
        <v>10</v>
      </c>
      <c r="AI171" s="103">
        <f ca="1">IFERROR(__xludf.DUMMYFUNCTION("""COMPUTED_VALUE"""),910)</f>
        <v>910</v>
      </c>
      <c r="AJ171" s="103" t="str">
        <f ca="1">IFERROR(__xludf.DUMMYFUNCTION("""COMPUTED_VALUE"""),"MORS")</f>
        <v>MORS</v>
      </c>
      <c r="AK171" s="103">
        <f ca="1">IFERROR(__xludf.DUMMYFUNCTION("""COMPUTED_VALUE"""),20)</f>
        <v>20</v>
      </c>
      <c r="AL171" s="103"/>
      <c r="AM171" s="103">
        <f ca="1">IFERROR(__xludf.DUMMYFUNCTION("""COMPUTED_VALUE"""),4)</f>
        <v>4</v>
      </c>
      <c r="AN171" s="103" t="str">
        <f ca="1">IFERROR(__xludf.DUMMYFUNCTION("""COMPUTED_VALUE"""),"P10 4.5mm shorter than pcovs. Terts significantly fresher and darker and more defined than secondaries")</f>
        <v>P10 4.5mm shorter than pcovs. Terts significantly fresher and darker and more defined than secondaries</v>
      </c>
      <c r="AO171" s="57" t="str">
        <f ca="1">IFERROR(__xludf.DUMMYFUNCTION("""COMPUTED_VALUE"""),"R")</f>
        <v>R</v>
      </c>
      <c r="AP171" s="103">
        <f ca="1">IFERROR(__xludf.DUMMYFUNCTION("""COMPUTED_VALUE"""),1)</f>
        <v>1</v>
      </c>
    </row>
    <row r="172" spans="1:42">
      <c r="A172" s="103">
        <f ca="1">IFERROR(__xludf.DUMMYFUNCTION("""COMPUTED_VALUE"""),10)</f>
        <v>10</v>
      </c>
      <c r="B172" s="103" t="str">
        <f ca="1">IFERROR(__xludf.DUMMYFUNCTION("""COMPUTED_VALUE"""),"GEJ")</f>
        <v>GEJ</v>
      </c>
      <c r="C172" s="103" t="str">
        <f ca="1">IFERROR(__xludf.DUMMYFUNCTION("""COMPUTED_VALUE"""),"N")</f>
        <v>N</v>
      </c>
      <c r="D172" s="103">
        <f ca="1">IFERROR(__xludf.DUMMYFUNCTION("""COMPUTED_VALUE"""),288029964)</f>
        <v>288029964</v>
      </c>
      <c r="E172" s="103" t="str">
        <f ca="1">IFERROR(__xludf.DUMMYFUNCTION("""COMPUTED_VALUE"""),"Black-capped Chickadee")</f>
        <v>Black-capped Chickadee</v>
      </c>
      <c r="F172" s="103" t="str">
        <f ca="1">IFERROR(__xludf.DUMMYFUNCTION("""COMPUTED_VALUE"""),"BCCH")</f>
        <v>BCCH</v>
      </c>
      <c r="G172" s="103">
        <f ca="1">IFERROR(__xludf.DUMMYFUNCTION("""COMPUTED_VALUE"""),1)</f>
        <v>1</v>
      </c>
      <c r="H172" s="103" t="str">
        <f ca="1">IFERROR(__xludf.DUMMYFUNCTION("""COMPUTED_VALUE"""),"S")</f>
        <v>S</v>
      </c>
      <c r="I172" s="103" t="str">
        <f ca="1">IFERROR(__xludf.DUMMYFUNCTION("""COMPUTED_VALUE"""),"B")</f>
        <v>B</v>
      </c>
      <c r="J172" s="103" t="str">
        <f ca="1">IFERROR(__xludf.DUMMYFUNCTION("""COMPUTED_VALUE"""),"UPB")</f>
        <v>UPB</v>
      </c>
      <c r="K172" s="103" t="str">
        <f ca="1">IFERROR(__xludf.DUMMYFUNCTION("""COMPUTED_VALUE"""),"F")</f>
        <v>F</v>
      </c>
      <c r="L172" s="103" t="str">
        <f ca="1">IFERROR(__xludf.DUMMYFUNCTION("""COMPUTED_VALUE"""),"B")</f>
        <v>B</v>
      </c>
      <c r="M172" s="103"/>
      <c r="N172" s="103">
        <f ca="1">IFERROR(__xludf.DUMMYFUNCTION("""COMPUTED_VALUE"""),6)</f>
        <v>6</v>
      </c>
      <c r="O172" s="103">
        <f ca="1">IFERROR(__xludf.DUMMYFUNCTION("""COMPUTED_VALUE"""),0)</f>
        <v>0</v>
      </c>
      <c r="P172" s="103">
        <f ca="1">IFERROR(__xludf.DUMMYFUNCTION("""COMPUTED_VALUE"""),5)</f>
        <v>5</v>
      </c>
      <c r="Q172" s="103">
        <f ca="1">IFERROR(__xludf.DUMMYFUNCTION("""COMPUTED_VALUE"""),2)</f>
        <v>2</v>
      </c>
      <c r="R172" s="103">
        <f ca="1">IFERROR(__xludf.DUMMYFUNCTION("""COMPUTED_VALUE"""),3)</f>
        <v>3</v>
      </c>
      <c r="S172" s="103" t="str">
        <f ca="1">IFERROR(__xludf.DUMMYFUNCTION("""COMPUTED_VALUE"""),"S")</f>
        <v>S</v>
      </c>
      <c r="T172" s="103">
        <f ca="1">IFERROR(__xludf.DUMMYFUNCTION("""COMPUTED_VALUE"""),1)</f>
        <v>1</v>
      </c>
      <c r="U172" s="103"/>
      <c r="V172" s="103" t="str">
        <f ca="1">IFERROR(__xludf.DUMMYFUNCTION("""COMPUTED_VALUE"""),"B")</f>
        <v>B</v>
      </c>
      <c r="W172" s="103" t="str">
        <f ca="1">IFERROR(__xludf.DUMMYFUNCTION("""COMPUTED_VALUE"""),"B")</f>
        <v>B</v>
      </c>
      <c r="X172" s="103" t="str">
        <f ca="1">IFERROR(__xludf.DUMMYFUNCTION("""COMPUTED_VALUE"""),"B")</f>
        <v>B</v>
      </c>
      <c r="Y172" s="103" t="str">
        <f ca="1">IFERROR(__xludf.DUMMYFUNCTION("""COMPUTED_VALUE"""),"B")</f>
        <v>B</v>
      </c>
      <c r="Z172" s="103"/>
      <c r="AA172" s="103"/>
      <c r="AB172" s="103"/>
      <c r="AC172" s="103"/>
      <c r="AD172" s="103">
        <f ca="1">IFERROR(__xludf.DUMMYFUNCTION("""COMPUTED_VALUE"""),58)</f>
        <v>58</v>
      </c>
      <c r="AE172" s="103">
        <f ca="1">IFERROR(__xludf.DUMMYFUNCTION("""COMPUTED_VALUE"""),10.5)</f>
        <v>10.5</v>
      </c>
      <c r="AF172" s="103">
        <f ca="1">IFERROR(__xludf.DUMMYFUNCTION("""COMPUTED_VALUE"""),300)</f>
        <v>300</v>
      </c>
      <c r="AG172" s="103">
        <f ca="1">IFERROR(__xludf.DUMMYFUNCTION("""COMPUTED_VALUE"""),7)</f>
        <v>7</v>
      </c>
      <c r="AH172" s="103">
        <f ca="1">IFERROR(__xludf.DUMMYFUNCTION("""COMPUTED_VALUE"""),10)</f>
        <v>10</v>
      </c>
      <c r="AI172" s="103">
        <f ca="1">IFERROR(__xludf.DUMMYFUNCTION("""COMPUTED_VALUE"""),1020)</f>
        <v>1020</v>
      </c>
      <c r="AJ172" s="103" t="str">
        <f ca="1">IFERROR(__xludf.DUMMYFUNCTION("""COMPUTED_VALUE"""),"MORS")</f>
        <v>MORS</v>
      </c>
      <c r="AK172" s="103">
        <f ca="1">IFERROR(__xludf.DUMMYFUNCTION("""COMPUTED_VALUE"""),15)</f>
        <v>15</v>
      </c>
      <c r="AL172" s="103"/>
      <c r="AM172" s="103">
        <f ca="1">IFERROR(__xludf.DUMMYFUNCTION("""COMPUTED_VALUE"""),5)</f>
        <v>5</v>
      </c>
      <c r="AN172" s="103" t="str">
        <f ca="1">IFERROR(__xludf.DUMMYFUNCTION("""COMPUTED_VALUE"""),"P6 in molt, RR5-3, LR6-2 in molt.")</f>
        <v>P6 in molt, RR5-3, LR6-2 in molt.</v>
      </c>
      <c r="AO172" s="57">
        <f ca="1">IFERROR(__xludf.DUMMYFUNCTION("""COMPUTED_VALUE"""),0)</f>
        <v>0</v>
      </c>
      <c r="AP172" s="103">
        <f ca="1">IFERROR(__xludf.DUMMYFUNCTION("""COMPUTED_VALUE"""),1)</f>
        <v>1</v>
      </c>
    </row>
    <row r="173" spans="1:42">
      <c r="A173" s="103">
        <f ca="1">IFERROR(__xludf.DUMMYFUNCTION("""COMPUTED_VALUE"""),1)</f>
        <v>1</v>
      </c>
      <c r="B173" s="103" t="str">
        <f ca="1">IFERROR(__xludf.DUMMYFUNCTION("""COMPUTED_VALUE"""),"JSM")</f>
        <v>JSM</v>
      </c>
      <c r="C173" s="103" t="str">
        <f ca="1">IFERROR(__xludf.DUMMYFUNCTION("""COMPUTED_VALUE"""),"R")</f>
        <v>R</v>
      </c>
      <c r="D173" s="103">
        <f ca="1">IFERROR(__xludf.DUMMYFUNCTION("""COMPUTED_VALUE"""),283105233)</f>
        <v>283105233</v>
      </c>
      <c r="E173" s="103" t="str">
        <f ca="1">IFERROR(__xludf.DUMMYFUNCTION("""COMPUTED_VALUE"""),"Song Sparrow")</f>
        <v>Song Sparrow</v>
      </c>
      <c r="F173" s="103" t="str">
        <f ca="1">IFERROR(__xludf.DUMMYFUNCTION("""COMPUTED_VALUE"""),"SOSP")</f>
        <v>SOSP</v>
      </c>
      <c r="G173" s="103">
        <f ca="1">IFERROR(__xludf.DUMMYFUNCTION("""COMPUTED_VALUE"""),1)</f>
        <v>1</v>
      </c>
      <c r="H173" s="103" t="str">
        <f ca="1">IFERROR(__xludf.DUMMYFUNCTION("""COMPUTED_VALUE"""),"P")</f>
        <v>P</v>
      </c>
      <c r="I173" s="103"/>
      <c r="J173" s="103" t="str">
        <f ca="1">IFERROR(__xludf.DUMMYFUNCTION("""COMPUTED_VALUE"""),"UAJ")</f>
        <v>UAJ</v>
      </c>
      <c r="K173" s="103" t="str">
        <f ca="1">IFERROR(__xludf.DUMMYFUNCTION("""COMPUTED_VALUE"""),"M")</f>
        <v>M</v>
      </c>
      <c r="L173" s="103" t="str">
        <f ca="1">IFERROR(__xludf.DUMMYFUNCTION("""COMPUTED_VALUE"""),"C")</f>
        <v>C</v>
      </c>
      <c r="M173" s="103"/>
      <c r="N173" s="103"/>
      <c r="O173" s="103">
        <f ca="1">IFERROR(__xludf.DUMMYFUNCTION("""COMPUTED_VALUE"""),3)</f>
        <v>3</v>
      </c>
      <c r="P173" s="103">
        <f ca="1">IFERROR(__xludf.DUMMYFUNCTION("""COMPUTED_VALUE"""),0)</f>
        <v>0</v>
      </c>
      <c r="Q173" s="103">
        <f ca="1">IFERROR(__xludf.DUMMYFUNCTION("""COMPUTED_VALUE"""),0)</f>
        <v>0</v>
      </c>
      <c r="R173" s="103">
        <f ca="1">IFERROR(__xludf.DUMMYFUNCTION("""COMPUTED_VALUE"""),0)</f>
        <v>0</v>
      </c>
      <c r="S173" s="103" t="str">
        <f ca="1">IFERROR(__xludf.DUMMYFUNCTION("""COMPUTED_VALUE"""),"N")</f>
        <v>N</v>
      </c>
      <c r="T173" s="103">
        <f ca="1">IFERROR(__xludf.DUMMYFUNCTION("""COMPUTED_VALUE"""),2)</f>
        <v>2</v>
      </c>
      <c r="U173" s="103"/>
      <c r="V173" s="103"/>
      <c r="W173" s="103"/>
      <c r="X173" s="103"/>
      <c r="Y173" s="103"/>
      <c r="Z173" s="103"/>
      <c r="AA173" s="103"/>
      <c r="AB173" s="103"/>
      <c r="AC173" s="103"/>
      <c r="AD173" s="103">
        <f ca="1">IFERROR(__xludf.DUMMYFUNCTION("""COMPUTED_VALUE"""),65)</f>
        <v>65</v>
      </c>
      <c r="AE173" s="103">
        <f ca="1">IFERROR(__xludf.DUMMYFUNCTION("""COMPUTED_VALUE"""),17.4)</f>
        <v>17.399999999999999</v>
      </c>
      <c r="AF173" s="103">
        <f ca="1">IFERROR(__xludf.DUMMYFUNCTION("""COMPUTED_VALUE"""),300)</f>
        <v>300</v>
      </c>
      <c r="AG173" s="103">
        <f ca="1">IFERROR(__xludf.DUMMYFUNCTION("""COMPUTED_VALUE"""),7)</f>
        <v>7</v>
      </c>
      <c r="AH173" s="103">
        <f ca="1">IFERROR(__xludf.DUMMYFUNCTION("""COMPUTED_VALUE"""),10)</f>
        <v>10</v>
      </c>
      <c r="AI173" s="103">
        <f ca="1">IFERROR(__xludf.DUMMYFUNCTION("""COMPUTED_VALUE"""),620)</f>
        <v>620</v>
      </c>
      <c r="AJ173" s="103" t="str">
        <f ca="1">IFERROR(__xludf.DUMMYFUNCTION("""COMPUTED_VALUE"""),"MORS")</f>
        <v>MORS</v>
      </c>
      <c r="AK173" s="103">
        <f ca="1">IFERROR(__xludf.DUMMYFUNCTION("""COMPUTED_VALUE"""),15)</f>
        <v>15</v>
      </c>
      <c r="AL173" s="103"/>
      <c r="AM173" s="103"/>
      <c r="AN173" s="103"/>
      <c r="AO173" s="57" t="str">
        <f ca="1">IFERROR(__xludf.DUMMYFUNCTION("""COMPUTED_VALUE"""),"R")</f>
        <v>R</v>
      </c>
      <c r="AP173" s="103">
        <f ca="1">IFERROR(__xludf.DUMMYFUNCTION("""COMPUTED_VALUE"""),2)</f>
        <v>2</v>
      </c>
    </row>
    <row r="174" spans="1:42">
      <c r="A174" s="103">
        <f ca="1">IFERROR(__xludf.DUMMYFUNCTION("""COMPUTED_VALUE"""),2)</f>
        <v>2</v>
      </c>
      <c r="B174" s="103" t="str">
        <f ca="1">IFERROR(__xludf.DUMMYFUNCTION("""COMPUTED_VALUE"""),"JSM")</f>
        <v>JSM</v>
      </c>
      <c r="C174" s="103" t="str">
        <f ca="1">IFERROR(__xludf.DUMMYFUNCTION("""COMPUTED_VALUE"""),"N")</f>
        <v>N</v>
      </c>
      <c r="D174" s="103">
        <f ca="1">IFERROR(__xludf.DUMMYFUNCTION("""COMPUTED_VALUE"""),288029963)</f>
        <v>288029963</v>
      </c>
      <c r="E174" s="103" t="str">
        <f ca="1">IFERROR(__xludf.DUMMYFUNCTION("""COMPUTED_VALUE"""),"Pacific-slope Flycatcher")</f>
        <v>Pacific-slope Flycatcher</v>
      </c>
      <c r="F174" s="103" t="str">
        <f ca="1">IFERROR(__xludf.DUMMYFUNCTION("""COMPUTED_VALUE"""),"PSFL")</f>
        <v>PSFL</v>
      </c>
      <c r="G174" s="103">
        <f ca="1">IFERROR(__xludf.DUMMYFUNCTION("""COMPUTED_VALUE"""),6)</f>
        <v>6</v>
      </c>
      <c r="H174" s="103" t="str">
        <f ca="1">IFERROR(__xludf.DUMMYFUNCTION("""COMPUTED_VALUE"""),"P")</f>
        <v>P</v>
      </c>
      <c r="I174" s="103" t="str">
        <f ca="1">IFERROR(__xludf.DUMMYFUNCTION("""COMPUTED_VALUE"""),"F")</f>
        <v>F</v>
      </c>
      <c r="J174" s="103" t="str">
        <f ca="1">IFERROR(__xludf.DUMMYFUNCTION("""COMPUTED_VALUE"""),"DCB")</f>
        <v>DCB</v>
      </c>
      <c r="K174" s="103" t="str">
        <f ca="1">IFERROR(__xludf.DUMMYFUNCTION("""COMPUTED_VALUE"""),"F")</f>
        <v>F</v>
      </c>
      <c r="L174" s="103" t="str">
        <f ca="1">IFERROR(__xludf.DUMMYFUNCTION("""COMPUTED_VALUE"""),"B")</f>
        <v>B</v>
      </c>
      <c r="M174" s="103"/>
      <c r="N174" s="103"/>
      <c r="O174" s="103">
        <f ca="1">IFERROR(__xludf.DUMMYFUNCTION("""COMPUTED_VALUE"""),0)</f>
        <v>0</v>
      </c>
      <c r="P174" s="103">
        <f ca="1">IFERROR(__xludf.DUMMYFUNCTION("""COMPUTED_VALUE"""),3)</f>
        <v>3</v>
      </c>
      <c r="Q174" s="103">
        <f ca="1">IFERROR(__xludf.DUMMYFUNCTION("""COMPUTED_VALUE"""),2)</f>
        <v>2</v>
      </c>
      <c r="R174" s="103">
        <f ca="1">IFERROR(__xludf.DUMMYFUNCTION("""COMPUTED_VALUE"""),0)</f>
        <v>0</v>
      </c>
      <c r="S174" s="103" t="str">
        <f ca="1">IFERROR(__xludf.DUMMYFUNCTION("""COMPUTED_VALUE"""),"N")</f>
        <v>N</v>
      </c>
      <c r="T174" s="103">
        <f ca="1">IFERROR(__xludf.DUMMYFUNCTION("""COMPUTED_VALUE"""),4)</f>
        <v>4</v>
      </c>
      <c r="U174" s="103"/>
      <c r="V174" s="103"/>
      <c r="W174" s="103" t="str">
        <f ca="1">IFERROR(__xludf.DUMMYFUNCTION("""COMPUTED_VALUE"""),"B")</f>
        <v>B</v>
      </c>
      <c r="X174" s="103" t="str">
        <f ca="1">IFERROR(__xludf.DUMMYFUNCTION("""COMPUTED_VALUE"""),"B")</f>
        <v>B</v>
      </c>
      <c r="Y174" s="103" t="str">
        <f ca="1">IFERROR(__xludf.DUMMYFUNCTION("""COMPUTED_VALUE"""),"B")</f>
        <v>B</v>
      </c>
      <c r="Z174" s="103" t="str">
        <f ca="1">IFERROR(__xludf.DUMMYFUNCTION("""COMPUTED_VALUE"""),"B")</f>
        <v>B</v>
      </c>
      <c r="AA174" s="103"/>
      <c r="AB174" s="103"/>
      <c r="AC174" s="103"/>
      <c r="AD174" s="103">
        <f ca="1">IFERROR(__xludf.DUMMYFUNCTION("""COMPUTED_VALUE"""),61)</f>
        <v>61</v>
      </c>
      <c r="AE174" s="103">
        <f ca="1">IFERROR(__xludf.DUMMYFUNCTION("""COMPUTED_VALUE"""),10.6)</f>
        <v>10.6</v>
      </c>
      <c r="AF174" s="103">
        <f ca="1">IFERROR(__xludf.DUMMYFUNCTION("""COMPUTED_VALUE"""),300)</f>
        <v>300</v>
      </c>
      <c r="AG174" s="103">
        <f ca="1">IFERROR(__xludf.DUMMYFUNCTION("""COMPUTED_VALUE"""),7)</f>
        <v>7</v>
      </c>
      <c r="AH174" s="103">
        <f ca="1">IFERROR(__xludf.DUMMYFUNCTION("""COMPUTED_VALUE"""),10)</f>
        <v>10</v>
      </c>
      <c r="AI174" s="103">
        <f ca="1">IFERROR(__xludf.DUMMYFUNCTION("""COMPUTED_VALUE"""),630)</f>
        <v>630</v>
      </c>
      <c r="AJ174" s="103" t="str">
        <f ca="1">IFERROR(__xludf.DUMMYFUNCTION("""COMPUTED_VALUE"""),"MORS")</f>
        <v>MORS</v>
      </c>
      <c r="AK174" s="103">
        <f ca="1">IFERROR(__xludf.DUMMYFUNCTION("""COMPUTED_VALUE"""),10)</f>
        <v>10</v>
      </c>
      <c r="AL174" s="103"/>
      <c r="AM174" s="103"/>
      <c r="AN174" s="103"/>
      <c r="AO174" s="57">
        <f ca="1">IFERROR(__xludf.DUMMYFUNCTION("""COMPUTED_VALUE"""),0)</f>
        <v>0</v>
      </c>
      <c r="AP174" s="103">
        <f ca="1">IFERROR(__xludf.DUMMYFUNCTION("""COMPUTED_VALUE"""),2)</f>
        <v>2</v>
      </c>
    </row>
    <row r="175" spans="1:42">
      <c r="A175" s="103">
        <f ca="1">IFERROR(__xludf.DUMMYFUNCTION("""COMPUTED_VALUE"""),3)</f>
        <v>3</v>
      </c>
      <c r="B175" s="103" t="str">
        <f ca="1">IFERROR(__xludf.DUMMYFUNCTION("""COMPUTED_VALUE"""),"JSM")</f>
        <v>JSM</v>
      </c>
      <c r="C175" s="103" t="str">
        <f ca="1">IFERROR(__xludf.DUMMYFUNCTION("""COMPUTED_VALUE"""),"N")</f>
        <v>N</v>
      </c>
      <c r="D175" s="103">
        <f ca="1">IFERROR(__xludf.DUMMYFUNCTION("""COMPUTED_VALUE"""),172176247)</f>
        <v>172176247</v>
      </c>
      <c r="E175" s="103" t="str">
        <f ca="1">IFERROR(__xludf.DUMMYFUNCTION("""COMPUTED_VALUE"""),"Swainson's Thrush")</f>
        <v>Swainson's Thrush</v>
      </c>
      <c r="F175" s="103" t="str">
        <f ca="1">IFERROR(__xludf.DUMMYFUNCTION("""COMPUTED_VALUE"""),"SWTH")</f>
        <v>SWTH</v>
      </c>
      <c r="G175" s="103">
        <f ca="1">IFERROR(__xludf.DUMMYFUNCTION("""COMPUTED_VALUE"""),5)</f>
        <v>5</v>
      </c>
      <c r="H175" s="103" t="str">
        <f ca="1">IFERROR(__xludf.DUMMYFUNCTION("""COMPUTED_VALUE"""),"P")</f>
        <v>P</v>
      </c>
      <c r="I175" s="103"/>
      <c r="J175" s="103" t="str">
        <f ca="1">IFERROR(__xludf.DUMMYFUNCTION("""COMPUTED_VALUE"""),"FCF")</f>
        <v>FCF</v>
      </c>
      <c r="K175" s="103" t="str">
        <f ca="1">IFERROR(__xludf.DUMMYFUNCTION("""COMPUTED_VALUE"""),"M")</f>
        <v>M</v>
      </c>
      <c r="L175" s="103" t="str">
        <f ca="1">IFERROR(__xludf.DUMMYFUNCTION("""COMPUTED_VALUE"""),"P")</f>
        <v>P</v>
      </c>
      <c r="M175" s="103"/>
      <c r="N175" s="103"/>
      <c r="O175" s="103">
        <f ca="1">IFERROR(__xludf.DUMMYFUNCTION("""COMPUTED_VALUE"""),3)</f>
        <v>3</v>
      </c>
      <c r="P175" s="103">
        <f ca="1">IFERROR(__xludf.DUMMYFUNCTION("""COMPUTED_VALUE"""),0)</f>
        <v>0</v>
      </c>
      <c r="Q175" s="103">
        <f ca="1">IFERROR(__xludf.DUMMYFUNCTION("""COMPUTED_VALUE"""),0)</f>
        <v>0</v>
      </c>
      <c r="R175" s="103">
        <f ca="1">IFERROR(__xludf.DUMMYFUNCTION("""COMPUTED_VALUE"""),0)</f>
        <v>0</v>
      </c>
      <c r="S175" s="103" t="str">
        <f ca="1">IFERROR(__xludf.DUMMYFUNCTION("""COMPUTED_VALUE"""),"N")</f>
        <v>N</v>
      </c>
      <c r="T175" s="103">
        <f ca="1">IFERROR(__xludf.DUMMYFUNCTION("""COMPUTED_VALUE"""),2)</f>
        <v>2</v>
      </c>
      <c r="U175" s="103"/>
      <c r="V175" s="103"/>
      <c r="W175" s="103"/>
      <c r="X175" s="103" t="str">
        <f ca="1">IFERROR(__xludf.DUMMYFUNCTION("""COMPUTED_VALUE"""),"B")</f>
        <v>B</v>
      </c>
      <c r="Y175" s="103"/>
      <c r="Z175" s="103"/>
      <c r="AA175" s="103" t="str">
        <f ca="1">IFERROR(__xludf.DUMMYFUNCTION("""COMPUTED_VALUE"""),"J")</f>
        <v>J</v>
      </c>
      <c r="AB175" s="103"/>
      <c r="AC175" s="103"/>
      <c r="AD175" s="103">
        <f ca="1">IFERROR(__xludf.DUMMYFUNCTION("""COMPUTED_VALUE"""),95)</f>
        <v>95</v>
      </c>
      <c r="AE175" s="103">
        <f ca="1">IFERROR(__xludf.DUMMYFUNCTION("""COMPUTED_VALUE"""),30.1)</f>
        <v>30.1</v>
      </c>
      <c r="AF175" s="103">
        <f ca="1">IFERROR(__xludf.DUMMYFUNCTION("""COMPUTED_VALUE"""),300)</f>
        <v>300</v>
      </c>
      <c r="AG175" s="103">
        <f ca="1">IFERROR(__xludf.DUMMYFUNCTION("""COMPUTED_VALUE"""),7)</f>
        <v>7</v>
      </c>
      <c r="AH175" s="103">
        <f ca="1">IFERROR(__xludf.DUMMYFUNCTION("""COMPUTED_VALUE"""),10)</f>
        <v>10</v>
      </c>
      <c r="AI175" s="103">
        <f ca="1">IFERROR(__xludf.DUMMYFUNCTION("""COMPUTED_VALUE"""),7)</f>
        <v>7</v>
      </c>
      <c r="AJ175" s="103" t="str">
        <f ca="1">IFERROR(__xludf.DUMMYFUNCTION("""COMPUTED_VALUE"""),"MORS")</f>
        <v>MORS</v>
      </c>
      <c r="AK175" s="103">
        <f ca="1">IFERROR(__xludf.DUMMYFUNCTION("""COMPUTED_VALUE"""),20)</f>
        <v>20</v>
      </c>
      <c r="AL175" s="103"/>
      <c r="AM175" s="103">
        <f ca="1">IFERROR(__xludf.DUMMYFUNCTION("""COMPUTED_VALUE"""),1)</f>
        <v>1</v>
      </c>
      <c r="AN175" s="103" t="str">
        <f ca="1">IFERROR(__xludf.DUMMYFUNCTION("""COMPUTED_VALUE"""),"P10 pointed with slightly round tip, narrow. P10 4mm")</f>
        <v>P10 pointed with slightly round tip, narrow. P10 4mm</v>
      </c>
      <c r="AO175" s="57" t="str">
        <f ca="1">IFERROR(__xludf.DUMMYFUNCTION("""COMPUTED_VALUE"""),"1B")</f>
        <v>1B</v>
      </c>
      <c r="AP175" s="103">
        <f ca="1">IFERROR(__xludf.DUMMYFUNCTION("""COMPUTED_VALUE"""),2)</f>
        <v>2</v>
      </c>
    </row>
    <row r="176" spans="1:42">
      <c r="A176" s="103">
        <f ca="1">IFERROR(__xludf.DUMMYFUNCTION("""COMPUTED_VALUE"""),4)</f>
        <v>4</v>
      </c>
      <c r="B176" s="103" t="str">
        <f ca="1">IFERROR(__xludf.DUMMYFUNCTION("""COMPUTED_VALUE"""),"JSM")</f>
        <v>JSM</v>
      </c>
      <c r="C176" s="103" t="str">
        <f ca="1">IFERROR(__xludf.DUMMYFUNCTION("""COMPUTED_VALUE"""),"R")</f>
        <v>R</v>
      </c>
      <c r="D176" s="103">
        <f ca="1">IFERROR(__xludf.DUMMYFUNCTION("""COMPUTED_VALUE"""),262091946)</f>
        <v>262091946</v>
      </c>
      <c r="E176" s="103" t="str">
        <f ca="1">IFERROR(__xludf.DUMMYFUNCTION("""COMPUTED_VALUE"""),"Bushtit")</f>
        <v>Bushtit</v>
      </c>
      <c r="F176" s="103" t="str">
        <f ca="1">IFERROR(__xludf.DUMMYFUNCTION("""COMPUTED_VALUE"""),"BUSH")</f>
        <v>BUSH</v>
      </c>
      <c r="G176" s="103">
        <f ca="1">IFERROR(__xludf.DUMMYFUNCTION("""COMPUTED_VALUE"""),2)</f>
        <v>2</v>
      </c>
      <c r="H176" s="103" t="str">
        <f ca="1">IFERROR(__xludf.DUMMYFUNCTION("""COMPUTED_VALUE"""),"P")</f>
        <v>P</v>
      </c>
      <c r="I176" s="103"/>
      <c r="J176" s="103" t="str">
        <f ca="1">IFERROR(__xludf.DUMMYFUNCTION("""COMPUTED_VALUE"""),"FPJ")</f>
        <v>FPJ</v>
      </c>
      <c r="K176" s="103" t="str">
        <f ca="1">IFERROR(__xludf.DUMMYFUNCTION("""COMPUTED_VALUE"""),"M")</f>
        <v>M</v>
      </c>
      <c r="L176" s="103" t="str">
        <f ca="1">IFERROR(__xludf.DUMMYFUNCTION("""COMPUTED_VALUE"""),"E")</f>
        <v>E</v>
      </c>
      <c r="M176" s="103"/>
      <c r="N176" s="103">
        <f ca="1">IFERROR(__xludf.DUMMYFUNCTION("""COMPUTED_VALUE"""),4)</f>
        <v>4</v>
      </c>
      <c r="O176" s="103">
        <f ca="1">IFERROR(__xludf.DUMMYFUNCTION("""COMPUTED_VALUE"""),0)</f>
        <v>0</v>
      </c>
      <c r="P176" s="103">
        <f ca="1">IFERROR(__xludf.DUMMYFUNCTION("""COMPUTED_VALUE"""),0)</f>
        <v>0</v>
      </c>
      <c r="Q176" s="103">
        <f ca="1">IFERROR(__xludf.DUMMYFUNCTION("""COMPUTED_VALUE"""),3)</f>
        <v>3</v>
      </c>
      <c r="R176" s="103">
        <f ca="1">IFERROR(__xludf.DUMMYFUNCTION("""COMPUTED_VALUE"""),1)</f>
        <v>1</v>
      </c>
      <c r="S176" s="103" t="str">
        <f ca="1">IFERROR(__xludf.DUMMYFUNCTION("""COMPUTED_VALUE"""),"N")</f>
        <v>N</v>
      </c>
      <c r="T176" s="103">
        <f ca="1">IFERROR(__xludf.DUMMYFUNCTION("""COMPUTED_VALUE"""),2)</f>
        <v>2</v>
      </c>
      <c r="U176" s="103">
        <f ca="1">IFERROR(__xludf.DUMMYFUNCTION("""COMPUTED_VALUE"""),2)</f>
        <v>2</v>
      </c>
      <c r="V176" s="103"/>
      <c r="W176" s="103"/>
      <c r="X176" s="103"/>
      <c r="Y176" s="103"/>
      <c r="Z176" s="103"/>
      <c r="AA176" s="103"/>
      <c r="AB176" s="103"/>
      <c r="AC176" s="103"/>
      <c r="AD176" s="103">
        <f ca="1">IFERROR(__xludf.DUMMYFUNCTION("""COMPUTED_VALUE"""),48)</f>
        <v>48</v>
      </c>
      <c r="AE176" s="103">
        <f ca="1">IFERROR(__xludf.DUMMYFUNCTION("""COMPUTED_VALUE"""),5.9)</f>
        <v>5.9</v>
      </c>
      <c r="AF176" s="103">
        <f ca="1">IFERROR(__xludf.DUMMYFUNCTION("""COMPUTED_VALUE"""),300)</f>
        <v>300</v>
      </c>
      <c r="AG176" s="103">
        <f ca="1">IFERROR(__xludf.DUMMYFUNCTION("""COMPUTED_VALUE"""),7)</f>
        <v>7</v>
      </c>
      <c r="AH176" s="103">
        <f ca="1">IFERROR(__xludf.DUMMYFUNCTION("""COMPUTED_VALUE"""),10)</f>
        <v>10</v>
      </c>
      <c r="AI176" s="103">
        <f ca="1">IFERROR(__xludf.DUMMYFUNCTION("""COMPUTED_VALUE"""),730)</f>
        <v>730</v>
      </c>
      <c r="AJ176" s="103" t="str">
        <f ca="1">IFERROR(__xludf.DUMMYFUNCTION("""COMPUTED_VALUE"""),"MORS")</f>
        <v>MORS</v>
      </c>
      <c r="AK176" s="103">
        <f ca="1">IFERROR(__xludf.DUMMYFUNCTION("""COMPUTED_VALUE"""),6)</f>
        <v>6</v>
      </c>
      <c r="AL176" s="103"/>
      <c r="AM176" s="103">
        <f ca="1">IFERROR(__xludf.DUMMYFUNCTION("""COMPUTED_VALUE"""),2)</f>
        <v>2</v>
      </c>
      <c r="AN176" s="103" t="str">
        <f ca="1">IFERROR(__xludf.DUMMYFUNCTION("""COMPUTED_VALUE"""),"P10 pointed")</f>
        <v>P10 pointed</v>
      </c>
      <c r="AO176" s="57" t="str">
        <f ca="1">IFERROR(__xludf.DUMMYFUNCTION("""COMPUTED_VALUE"""),"R")</f>
        <v>R</v>
      </c>
      <c r="AP176" s="103">
        <f ca="1">IFERROR(__xludf.DUMMYFUNCTION("""COMPUTED_VALUE"""),2)</f>
        <v>2</v>
      </c>
    </row>
    <row r="177" spans="1:42">
      <c r="A177" s="103">
        <f ca="1">IFERROR(__xludf.DUMMYFUNCTION("""COMPUTED_VALUE"""),5)</f>
        <v>5</v>
      </c>
      <c r="B177" s="103" t="str">
        <f ca="1">IFERROR(__xludf.DUMMYFUNCTION("""COMPUTED_VALUE"""),"JSM")</f>
        <v>JSM</v>
      </c>
      <c r="C177" s="103" t="str">
        <f ca="1">IFERROR(__xludf.DUMMYFUNCTION("""COMPUTED_VALUE"""),"N")</f>
        <v>N</v>
      </c>
      <c r="D177" s="103">
        <f ca="1">IFERROR(__xludf.DUMMYFUNCTION("""COMPUTED_VALUE"""),290077847)</f>
        <v>290077847</v>
      </c>
      <c r="E177" s="103" t="str">
        <f ca="1">IFERROR(__xludf.DUMMYFUNCTION("""COMPUTED_VALUE"""),"Bushtit")</f>
        <v>Bushtit</v>
      </c>
      <c r="F177" s="103" t="str">
        <f ca="1">IFERROR(__xludf.DUMMYFUNCTION("""COMPUTED_VALUE"""),"BUSH")</f>
        <v>BUSH</v>
      </c>
      <c r="G177" s="103">
        <f ca="1">IFERROR(__xludf.DUMMYFUNCTION("""COMPUTED_VALUE"""),2)</f>
        <v>2</v>
      </c>
      <c r="H177" s="103" t="str">
        <f ca="1">IFERROR(__xludf.DUMMYFUNCTION("""COMPUTED_VALUE"""),"P")</f>
        <v>P</v>
      </c>
      <c r="I177" s="103"/>
      <c r="J177" s="103" t="str">
        <f ca="1">IFERROR(__xludf.DUMMYFUNCTION("""COMPUTED_VALUE"""),"FCJ")</f>
        <v>FCJ</v>
      </c>
      <c r="K177" s="103" t="str">
        <f ca="1">IFERROR(__xludf.DUMMYFUNCTION("""COMPUTED_VALUE"""),"M")</f>
        <v>M</v>
      </c>
      <c r="L177" s="103" t="str">
        <f ca="1">IFERROR(__xludf.DUMMYFUNCTION("""COMPUTED_VALUE"""),"E")</f>
        <v>E</v>
      </c>
      <c r="M177" s="103"/>
      <c r="N177" s="103">
        <f ca="1">IFERROR(__xludf.DUMMYFUNCTION("""COMPUTED_VALUE"""),3)</f>
        <v>3</v>
      </c>
      <c r="O177" s="103">
        <f ca="1">IFERROR(__xludf.DUMMYFUNCTION("""COMPUTED_VALUE"""),0)</f>
        <v>0</v>
      </c>
      <c r="P177" s="103">
        <f ca="1">IFERROR(__xludf.DUMMYFUNCTION("""COMPUTED_VALUE"""),0)</f>
        <v>0</v>
      </c>
      <c r="Q177" s="103">
        <f ca="1">IFERROR(__xludf.DUMMYFUNCTION("""COMPUTED_VALUE"""),2)</f>
        <v>2</v>
      </c>
      <c r="R177" s="103">
        <f ca="1">IFERROR(__xludf.DUMMYFUNCTION("""COMPUTED_VALUE"""),0)</f>
        <v>0</v>
      </c>
      <c r="S177" s="103" t="str">
        <f ca="1">IFERROR(__xludf.DUMMYFUNCTION("""COMPUTED_VALUE"""),"N")</f>
        <v>N</v>
      </c>
      <c r="T177" s="103">
        <f ca="1">IFERROR(__xludf.DUMMYFUNCTION("""COMPUTED_VALUE"""),2)</f>
        <v>2</v>
      </c>
      <c r="U177" s="103">
        <f ca="1">IFERROR(__xludf.DUMMYFUNCTION("""COMPUTED_VALUE"""),2)</f>
        <v>2</v>
      </c>
      <c r="V177" s="103"/>
      <c r="W177" s="103" t="str">
        <f ca="1">IFERROR(__xludf.DUMMYFUNCTION("""COMPUTED_VALUE"""),"J")</f>
        <v>J</v>
      </c>
      <c r="X177" s="103"/>
      <c r="Y177" s="103"/>
      <c r="Z177" s="103"/>
      <c r="AA177" s="103"/>
      <c r="AB177" s="103"/>
      <c r="AC177" s="103"/>
      <c r="AD177" s="103">
        <f ca="1">IFERROR(__xludf.DUMMYFUNCTION("""COMPUTED_VALUE"""),46)</f>
        <v>46</v>
      </c>
      <c r="AE177" s="103">
        <f ca="1">IFERROR(__xludf.DUMMYFUNCTION("""COMPUTED_VALUE"""),5.3)</f>
        <v>5.3</v>
      </c>
      <c r="AF177" s="103">
        <f ca="1">IFERROR(__xludf.DUMMYFUNCTION("""COMPUTED_VALUE"""),300)</f>
        <v>300</v>
      </c>
      <c r="AG177" s="103">
        <f ca="1">IFERROR(__xludf.DUMMYFUNCTION("""COMPUTED_VALUE"""),7)</f>
        <v>7</v>
      </c>
      <c r="AH177" s="103">
        <f ca="1">IFERROR(__xludf.DUMMYFUNCTION("""COMPUTED_VALUE"""),10)</f>
        <v>10</v>
      </c>
      <c r="AI177" s="103">
        <f ca="1">IFERROR(__xludf.DUMMYFUNCTION("""COMPUTED_VALUE"""),730)</f>
        <v>730</v>
      </c>
      <c r="AJ177" s="103" t="str">
        <f ca="1">IFERROR(__xludf.DUMMYFUNCTION("""COMPUTED_VALUE"""),"MORS")</f>
        <v>MORS</v>
      </c>
      <c r="AK177" s="103">
        <f ca="1">IFERROR(__xludf.DUMMYFUNCTION("""COMPUTED_VALUE"""),6)</f>
        <v>6</v>
      </c>
      <c r="AL177" s="103"/>
      <c r="AM177" s="103">
        <f ca="1">IFERROR(__xludf.DUMMYFUNCTION("""COMPUTED_VALUE"""),3)</f>
        <v>3</v>
      </c>
      <c r="AN177" s="103" t="str">
        <f ca="1">IFERROR(__xludf.DUMMYFUNCTION("""COMPUTED_VALUE"""),"P10 very broad and round")</f>
        <v>P10 very broad and round</v>
      </c>
      <c r="AO177" s="57" t="str">
        <f ca="1">IFERROR(__xludf.DUMMYFUNCTION("""COMPUTED_VALUE"""),"0A")</f>
        <v>0A</v>
      </c>
      <c r="AP177" s="103">
        <f ca="1">IFERROR(__xludf.DUMMYFUNCTION("""COMPUTED_VALUE"""),2)</f>
        <v>2</v>
      </c>
    </row>
    <row r="178" spans="1:42">
      <c r="A178" s="103">
        <f ca="1">IFERROR(__xludf.DUMMYFUNCTION("""COMPUTED_VALUE"""),6)</f>
        <v>6</v>
      </c>
      <c r="B178" s="103" t="str">
        <f ca="1">IFERROR(__xludf.DUMMYFUNCTION("""COMPUTED_VALUE"""),"JSM")</f>
        <v>JSM</v>
      </c>
      <c r="C178" s="103" t="str">
        <f ca="1">IFERROR(__xludf.DUMMYFUNCTION("""COMPUTED_VALUE"""),"N")</f>
        <v>N</v>
      </c>
      <c r="D178" s="103">
        <f ca="1">IFERROR(__xludf.DUMMYFUNCTION("""COMPUTED_VALUE"""),172176249)</f>
        <v>172176249</v>
      </c>
      <c r="E178" s="103" t="str">
        <f ca="1">IFERROR(__xludf.DUMMYFUNCTION("""COMPUTED_VALUE"""),"Swainson's Thrush")</f>
        <v>Swainson's Thrush</v>
      </c>
      <c r="F178" s="103" t="str">
        <f ca="1">IFERROR(__xludf.DUMMYFUNCTION("""COMPUTED_VALUE"""),"SWTH")</f>
        <v>SWTH</v>
      </c>
      <c r="G178" s="103">
        <f ca="1">IFERROR(__xludf.DUMMYFUNCTION("""COMPUTED_VALUE"""),1)</f>
        <v>1</v>
      </c>
      <c r="H178" s="103"/>
      <c r="I178" s="103"/>
      <c r="J178" s="103" t="str">
        <f ca="1">IFERROR(__xludf.DUMMYFUNCTION("""COMPUTED_VALUE"""),"UAJ")</f>
        <v>UAJ</v>
      </c>
      <c r="K178" s="103" t="str">
        <f ca="1">IFERROR(__xludf.DUMMYFUNCTION("""COMPUTED_VALUE"""),"M")</f>
        <v>M</v>
      </c>
      <c r="L178" s="103" t="str">
        <f ca="1">IFERROR(__xludf.DUMMYFUNCTION("""COMPUTED_VALUE"""),"C")</f>
        <v>C</v>
      </c>
      <c r="M178" s="103"/>
      <c r="N178" s="103"/>
      <c r="O178" s="103">
        <f ca="1">IFERROR(__xludf.DUMMYFUNCTION("""COMPUTED_VALUE"""),3)</f>
        <v>3</v>
      </c>
      <c r="P178" s="103">
        <f ca="1">IFERROR(__xludf.DUMMYFUNCTION("""COMPUTED_VALUE"""),0)</f>
        <v>0</v>
      </c>
      <c r="Q178" s="103">
        <f ca="1">IFERROR(__xludf.DUMMYFUNCTION("""COMPUTED_VALUE"""),1)</f>
        <v>1</v>
      </c>
      <c r="R178" s="103">
        <f ca="1">IFERROR(__xludf.DUMMYFUNCTION("""COMPUTED_VALUE"""),0)</f>
        <v>0</v>
      </c>
      <c r="S178" s="103" t="str">
        <f ca="1">IFERROR(__xludf.DUMMYFUNCTION("""COMPUTED_VALUE"""),"N")</f>
        <v>N</v>
      </c>
      <c r="T178" s="103">
        <f ca="1">IFERROR(__xludf.DUMMYFUNCTION("""COMPUTED_VALUE"""),4)</f>
        <v>4</v>
      </c>
      <c r="U178" s="103"/>
      <c r="V178" s="103"/>
      <c r="W178" s="103"/>
      <c r="X178" s="103"/>
      <c r="Y178" s="103"/>
      <c r="Z178" s="103"/>
      <c r="AA178" s="103" t="str">
        <f ca="1">IFERROR(__xludf.DUMMYFUNCTION("""COMPUTED_VALUE"""),"U")</f>
        <v>U</v>
      </c>
      <c r="AB178" s="103"/>
      <c r="AC178" s="103"/>
      <c r="AD178" s="103">
        <f ca="1">IFERROR(__xludf.DUMMYFUNCTION("""COMPUTED_VALUE"""),92)</f>
        <v>92</v>
      </c>
      <c r="AE178" s="103">
        <f ca="1">IFERROR(__xludf.DUMMYFUNCTION("""COMPUTED_VALUE"""),30.5)</f>
        <v>30.5</v>
      </c>
      <c r="AF178" s="103">
        <f ca="1">IFERROR(__xludf.DUMMYFUNCTION("""COMPUTED_VALUE"""),300)</f>
        <v>300</v>
      </c>
      <c r="AG178" s="103">
        <f ca="1">IFERROR(__xludf.DUMMYFUNCTION("""COMPUTED_VALUE"""),7)</f>
        <v>7</v>
      </c>
      <c r="AH178" s="103">
        <f ca="1">IFERROR(__xludf.DUMMYFUNCTION("""COMPUTED_VALUE"""),10)</f>
        <v>10</v>
      </c>
      <c r="AI178" s="103">
        <f ca="1">IFERROR(__xludf.DUMMYFUNCTION("""COMPUTED_VALUE"""),920)</f>
        <v>920</v>
      </c>
      <c r="AJ178" s="103" t="str">
        <f ca="1">IFERROR(__xludf.DUMMYFUNCTION("""COMPUTED_VALUE"""),"MORS")</f>
        <v>MORS</v>
      </c>
      <c r="AK178" s="103">
        <f ca="1">IFERROR(__xludf.DUMMYFUNCTION("""COMPUTED_VALUE"""),15)</f>
        <v>15</v>
      </c>
      <c r="AL178" s="103"/>
      <c r="AM178" s="103">
        <f ca="1">IFERROR(__xludf.DUMMYFUNCTION("""COMPUTED_VALUE"""),4)</f>
        <v>4</v>
      </c>
      <c r="AN178" s="103" t="str">
        <f ca="1">IFERROR(__xludf.DUMMYFUNCTION("""COMPUTED_VALUE"""),"Tail missing. P10 semi wide, more pointed, but tip round. Looks like adult feather but worn. P10 2mm")</f>
        <v>Tail missing. P10 semi wide, more pointed, but tip round. Looks like adult feather but worn. P10 2mm</v>
      </c>
      <c r="AO178" s="57" t="str">
        <f ca="1">IFERROR(__xludf.DUMMYFUNCTION("""COMPUTED_VALUE"""),"1B")</f>
        <v>1B</v>
      </c>
      <c r="AP178" s="103">
        <f ca="1">IFERROR(__xludf.DUMMYFUNCTION("""COMPUTED_VALUE"""),2)</f>
        <v>2</v>
      </c>
    </row>
    <row r="179" spans="1:42">
      <c r="A179" s="103">
        <f ca="1">IFERROR(__xludf.DUMMYFUNCTION("""COMPUTED_VALUE"""),7)</f>
        <v>7</v>
      </c>
      <c r="B179" s="103" t="str">
        <f ca="1">IFERROR(__xludf.DUMMYFUNCTION("""COMPUTED_VALUE"""),"JSM")</f>
        <v>JSM</v>
      </c>
      <c r="C179" s="103" t="str">
        <f ca="1">IFERROR(__xludf.DUMMYFUNCTION("""COMPUTED_VALUE"""),"N")</f>
        <v>N</v>
      </c>
      <c r="D179" s="103">
        <f ca="1">IFERROR(__xludf.DUMMYFUNCTION("""COMPUTED_VALUE"""),230196613)</f>
        <v>230196613</v>
      </c>
      <c r="E179" s="103" t="str">
        <f ca="1">IFERROR(__xludf.DUMMYFUNCTION("""COMPUTED_VALUE"""),"Black-headed Grosbeak")</f>
        <v>Black-headed Grosbeak</v>
      </c>
      <c r="F179" s="103" t="str">
        <f ca="1">IFERROR(__xludf.DUMMYFUNCTION("""COMPUTED_VALUE"""),"BHGR")</f>
        <v>BHGR</v>
      </c>
      <c r="G179" s="103">
        <f ca="1">IFERROR(__xludf.DUMMYFUNCTION("""COMPUTED_VALUE"""),6)</f>
        <v>6</v>
      </c>
      <c r="H179" s="103" t="str">
        <f ca="1">IFERROR(__xludf.DUMMYFUNCTION("""COMPUTED_VALUE"""),"P")</f>
        <v>P</v>
      </c>
      <c r="I179" s="103"/>
      <c r="J179" s="103" t="str">
        <f ca="1">IFERROR(__xludf.DUMMYFUNCTION("""COMPUTED_VALUE"""),"DCB")</f>
        <v>DCB</v>
      </c>
      <c r="K179" s="103" t="str">
        <f ca="1">IFERROR(__xludf.DUMMYFUNCTION("""COMPUTED_VALUE"""),"M")</f>
        <v>M</v>
      </c>
      <c r="L179" s="103" t="str">
        <f ca="1">IFERROR(__xludf.DUMMYFUNCTION("""COMPUTED_VALUE"""),"C")</f>
        <v>C</v>
      </c>
      <c r="M179" s="103"/>
      <c r="N179" s="103"/>
      <c r="O179" s="103">
        <f ca="1">IFERROR(__xludf.DUMMYFUNCTION("""COMPUTED_VALUE"""),3)</f>
        <v>3</v>
      </c>
      <c r="P179" s="103">
        <f ca="1">IFERROR(__xludf.DUMMYFUNCTION("""COMPUTED_VALUE"""),0)</f>
        <v>0</v>
      </c>
      <c r="Q179" s="103">
        <f ca="1">IFERROR(__xludf.DUMMYFUNCTION("""COMPUTED_VALUE"""),1)</f>
        <v>1</v>
      </c>
      <c r="R179" s="103">
        <f ca="1">IFERROR(__xludf.DUMMYFUNCTION("""COMPUTED_VALUE"""),0)</f>
        <v>0</v>
      </c>
      <c r="S179" s="103" t="str">
        <f ca="1">IFERROR(__xludf.DUMMYFUNCTION("""COMPUTED_VALUE"""),"N")</f>
        <v>N</v>
      </c>
      <c r="T179" s="103">
        <f ca="1">IFERROR(__xludf.DUMMYFUNCTION("""COMPUTED_VALUE"""),3)</f>
        <v>3</v>
      </c>
      <c r="U179" s="103"/>
      <c r="V179" s="103"/>
      <c r="W179" s="103"/>
      <c r="X179" s="103"/>
      <c r="Y179" s="103"/>
      <c r="Z179" s="103"/>
      <c r="AA179" s="103"/>
      <c r="AB179" s="103"/>
      <c r="AC179" s="103"/>
      <c r="AD179" s="103">
        <f ca="1">IFERROR(__xludf.DUMMYFUNCTION("""COMPUTED_VALUE"""),101)</f>
        <v>101</v>
      </c>
      <c r="AE179" s="103">
        <f ca="1">IFERROR(__xludf.DUMMYFUNCTION("""COMPUTED_VALUE"""),45.1)</f>
        <v>45.1</v>
      </c>
      <c r="AF179" s="103">
        <f ca="1">IFERROR(__xludf.DUMMYFUNCTION("""COMPUTED_VALUE"""),300)</f>
        <v>300</v>
      </c>
      <c r="AG179" s="103">
        <f ca="1">IFERROR(__xludf.DUMMYFUNCTION("""COMPUTED_VALUE"""),7)</f>
        <v>7</v>
      </c>
      <c r="AH179" s="103">
        <f ca="1">IFERROR(__xludf.DUMMYFUNCTION("""COMPUTED_VALUE"""),10)</f>
        <v>10</v>
      </c>
      <c r="AI179" s="103">
        <f ca="1">IFERROR(__xludf.DUMMYFUNCTION("""COMPUTED_VALUE"""),920)</f>
        <v>920</v>
      </c>
      <c r="AJ179" s="103" t="str">
        <f ca="1">IFERROR(__xludf.DUMMYFUNCTION("""COMPUTED_VALUE"""),"MORS")</f>
        <v>MORS</v>
      </c>
      <c r="AK179" s="103">
        <f ca="1">IFERROR(__xludf.DUMMYFUNCTION("""COMPUTED_VALUE"""),9)</f>
        <v>9</v>
      </c>
      <c r="AL179" s="103"/>
      <c r="AM179" s="103">
        <f ca="1">IFERROR(__xludf.DUMMYFUNCTION("""COMPUTED_VALUE"""),5)</f>
        <v>5</v>
      </c>
      <c r="AN179" s="103" t="str">
        <f ca="1">IFERROR(__xludf.DUMMYFUNCTION("""COMPUTED_VALUE"""),"White patch on primary 15mm longer than longest ppcov")</f>
        <v>White patch on primary 15mm longer than longest ppcov</v>
      </c>
      <c r="AO179" s="57" t="str">
        <f ca="1">IFERROR(__xludf.DUMMYFUNCTION("""COMPUTED_VALUE"""),"1A")</f>
        <v>1A</v>
      </c>
      <c r="AP179" s="103">
        <f ca="1">IFERROR(__xludf.DUMMYFUNCTION("""COMPUTED_VALUE"""),2)</f>
        <v>2</v>
      </c>
    </row>
    <row r="180" spans="1:42">
      <c r="A180" s="103">
        <f ca="1">IFERROR(__xludf.DUMMYFUNCTION("""COMPUTED_VALUE"""),1)</f>
        <v>1</v>
      </c>
      <c r="B180" s="103" t="str">
        <f ca="1">IFERROR(__xludf.DUMMYFUNCTION("""COMPUTED_VALUE"""),"JHT")</f>
        <v>JHT</v>
      </c>
      <c r="C180" s="103" t="str">
        <f ca="1">IFERROR(__xludf.DUMMYFUNCTION("""COMPUTED_VALUE"""),"N")</f>
        <v>N</v>
      </c>
      <c r="D180" s="103">
        <f ca="1">IFERROR(__xludf.DUMMYFUNCTION("""COMPUTED_VALUE"""),290077842)</f>
        <v>290077842</v>
      </c>
      <c r="E180" s="103" t="str">
        <f ca="1">IFERROR(__xludf.DUMMYFUNCTION("""COMPUTED_VALUE"""),"Chestnut-backed Chickadee")</f>
        <v>Chestnut-backed Chickadee</v>
      </c>
      <c r="F180" s="103" t="str">
        <f ca="1">IFERROR(__xludf.DUMMYFUNCTION("""COMPUTED_VALUE"""),"CBCH")</f>
        <v>CBCH</v>
      </c>
      <c r="G180" s="103">
        <f ca="1">IFERROR(__xludf.DUMMYFUNCTION("""COMPUTED_VALUE"""),1)</f>
        <v>1</v>
      </c>
      <c r="H180" s="103" t="str">
        <f ca="1">IFERROR(__xludf.DUMMYFUNCTION("""COMPUTED_VALUE"""),"S")</f>
        <v>S</v>
      </c>
      <c r="I180" s="103" t="str">
        <f ca="1">IFERROR(__xludf.DUMMYFUNCTION("""COMPUTED_VALUE"""),"P")</f>
        <v>P</v>
      </c>
      <c r="J180" s="103" t="str">
        <f ca="1">IFERROR(__xludf.DUMMYFUNCTION("""COMPUTED_VALUE"""),"UAJ")</f>
        <v>UAJ</v>
      </c>
      <c r="K180" s="103" t="str">
        <f ca="1">IFERROR(__xludf.DUMMYFUNCTION("""COMPUTED_VALUE"""),"U")</f>
        <v>U</v>
      </c>
      <c r="L180" s="103"/>
      <c r="M180" s="103"/>
      <c r="N180" s="103">
        <f ca="1">IFERROR(__xludf.DUMMYFUNCTION("""COMPUTED_VALUE"""),6)</f>
        <v>6</v>
      </c>
      <c r="O180" s="103">
        <f ca="1">IFERROR(__xludf.DUMMYFUNCTION("""COMPUTED_VALUE"""),0)</f>
        <v>0</v>
      </c>
      <c r="P180" s="103">
        <f ca="1">IFERROR(__xludf.DUMMYFUNCTION("""COMPUTED_VALUE"""),0)</f>
        <v>0</v>
      </c>
      <c r="Q180" s="103">
        <f ca="1">IFERROR(__xludf.DUMMYFUNCTION("""COMPUTED_VALUE"""),1)</f>
        <v>1</v>
      </c>
      <c r="R180" s="103">
        <f ca="1">IFERROR(__xludf.DUMMYFUNCTION("""COMPUTED_VALUE"""),4)</f>
        <v>4</v>
      </c>
      <c r="S180" s="103" t="str">
        <f ca="1">IFERROR(__xludf.DUMMYFUNCTION("""COMPUTED_VALUE"""),"S")</f>
        <v>S</v>
      </c>
      <c r="T180" s="103">
        <f ca="1">IFERROR(__xludf.DUMMYFUNCTION("""COMPUTED_VALUE"""),2)</f>
        <v>2</v>
      </c>
      <c r="U180" s="103"/>
      <c r="V180" s="103"/>
      <c r="W180" s="103"/>
      <c r="X180" s="103"/>
      <c r="Y180" s="103"/>
      <c r="Z180" s="103"/>
      <c r="AA180" s="103"/>
      <c r="AB180" s="103"/>
      <c r="AC180" s="103"/>
      <c r="AD180" s="103">
        <f ca="1">IFERROR(__xludf.DUMMYFUNCTION("""COMPUTED_VALUE"""),59)</f>
        <v>59</v>
      </c>
      <c r="AE180" s="103">
        <f ca="1">IFERROR(__xludf.DUMMYFUNCTION("""COMPUTED_VALUE"""),9.9)</f>
        <v>9.9</v>
      </c>
      <c r="AF180" s="103">
        <f ca="1">IFERROR(__xludf.DUMMYFUNCTION("""COMPUTED_VALUE"""),300)</f>
        <v>300</v>
      </c>
      <c r="AG180" s="103">
        <f ca="1">IFERROR(__xludf.DUMMYFUNCTION("""COMPUTED_VALUE"""),7)</f>
        <v>7</v>
      </c>
      <c r="AH180" s="103">
        <f ca="1">IFERROR(__xludf.DUMMYFUNCTION("""COMPUTED_VALUE"""),10)</f>
        <v>10</v>
      </c>
      <c r="AI180" s="103">
        <f ca="1">IFERROR(__xludf.DUMMYFUNCTION("""COMPUTED_VALUE"""),6)</f>
        <v>6</v>
      </c>
      <c r="AJ180" s="103" t="str">
        <f ca="1">IFERROR(__xludf.DUMMYFUNCTION("""COMPUTED_VALUE"""),"MORS")</f>
        <v>MORS</v>
      </c>
      <c r="AK180" s="103">
        <f ca="1">IFERROR(__xludf.DUMMYFUNCTION("""COMPUTED_VALUE"""),2)</f>
        <v>2</v>
      </c>
      <c r="AL180" s="103"/>
      <c r="AM180" s="103">
        <f ca="1">IFERROR(__xludf.DUMMYFUNCTION("""COMPUTED_VALUE"""),1)</f>
        <v>1</v>
      </c>
      <c r="AN180" s="103" t="str">
        <f ca="1">IFERROR(__xludf.DUMMYFUNCTION("""COMPUTED_VALUE"""),"P6,5 in molt both sides. P6 5%, P5 90%. R5-2 in molt both sides. R5 10%, R3 50%, R2 90%, symmetric on both sides.")</f>
        <v>P6,5 in molt both sides. P6 5%, P5 90%. R5-2 in molt both sides. R5 10%, R3 50%, R2 90%, symmetric on both sides.</v>
      </c>
      <c r="AO180" s="57" t="str">
        <f ca="1">IFERROR(__xludf.DUMMYFUNCTION("""COMPUTED_VALUE"""),"0A")</f>
        <v>0A</v>
      </c>
      <c r="AP180" s="103">
        <f ca="1">IFERROR(__xludf.DUMMYFUNCTION("""COMPUTED_VALUE"""),3)</f>
        <v>3</v>
      </c>
    </row>
    <row r="181" spans="1:42">
      <c r="A181" s="103">
        <f ca="1">IFERROR(__xludf.DUMMYFUNCTION("""COMPUTED_VALUE"""),2)</f>
        <v>2</v>
      </c>
      <c r="B181" s="103" t="str">
        <f ca="1">IFERROR(__xludf.DUMMYFUNCTION("""COMPUTED_VALUE"""),"JHT")</f>
        <v>JHT</v>
      </c>
      <c r="C181" s="103" t="str">
        <f ca="1">IFERROR(__xludf.DUMMYFUNCTION("""COMPUTED_VALUE"""),"R")</f>
        <v>R</v>
      </c>
      <c r="D181" s="103">
        <f ca="1">IFERROR(__xludf.DUMMYFUNCTION("""COMPUTED_VALUE"""),178168888)</f>
        <v>178168888</v>
      </c>
      <c r="E181" s="103" t="str">
        <f ca="1">IFERROR(__xludf.DUMMYFUNCTION("""COMPUTED_VALUE"""),"Spotted Towhee")</f>
        <v>Spotted Towhee</v>
      </c>
      <c r="F181" s="103" t="str">
        <f ca="1">IFERROR(__xludf.DUMMYFUNCTION("""COMPUTED_VALUE"""),"SPTO")</f>
        <v>SPTO</v>
      </c>
      <c r="G181" s="103">
        <f ca="1">IFERROR(__xludf.DUMMYFUNCTION("""COMPUTED_VALUE"""),1)</f>
        <v>1</v>
      </c>
      <c r="H181" s="103" t="str">
        <f ca="1">IFERROR(__xludf.DUMMYFUNCTION("""COMPUTED_VALUE"""),"S")</f>
        <v>S</v>
      </c>
      <c r="I181" s="103" t="str">
        <f ca="1">IFERROR(__xludf.DUMMYFUNCTION("""COMPUTED_VALUE"""),"P")</f>
        <v>P</v>
      </c>
      <c r="J181" s="103" t="str">
        <f ca="1">IFERROR(__xludf.DUMMYFUNCTION("""COMPUTED_VALUE"""),"UAJ")</f>
        <v>UAJ</v>
      </c>
      <c r="K181" s="103" t="str">
        <f ca="1">IFERROR(__xludf.DUMMYFUNCTION("""COMPUTED_VALUE"""),"M")</f>
        <v>M</v>
      </c>
      <c r="L181" s="103" t="str">
        <f ca="1">IFERROR(__xludf.DUMMYFUNCTION("""COMPUTED_VALUE"""),"C")</f>
        <v>C</v>
      </c>
      <c r="M181" s="103" t="str">
        <f ca="1">IFERROR(__xludf.DUMMYFUNCTION("""COMPUTED_VALUE"""),"P")</f>
        <v>P</v>
      </c>
      <c r="N181" s="103">
        <f ca="1">IFERROR(__xludf.DUMMYFUNCTION("""COMPUTED_VALUE"""),6)</f>
        <v>6</v>
      </c>
      <c r="O181" s="103">
        <f ca="1">IFERROR(__xludf.DUMMYFUNCTION("""COMPUTED_VALUE"""),3)</f>
        <v>3</v>
      </c>
      <c r="P181" s="103">
        <f ca="1">IFERROR(__xludf.DUMMYFUNCTION("""COMPUTED_VALUE"""),0)</f>
        <v>0</v>
      </c>
      <c r="Q181" s="103">
        <f ca="1">IFERROR(__xludf.DUMMYFUNCTION("""COMPUTED_VALUE"""),0)</f>
        <v>0</v>
      </c>
      <c r="R181" s="103">
        <f ca="1">IFERROR(__xludf.DUMMYFUNCTION("""COMPUTED_VALUE"""),0)</f>
        <v>0</v>
      </c>
      <c r="S181" s="103" t="str">
        <f ca="1">IFERROR(__xludf.DUMMYFUNCTION("""COMPUTED_VALUE"""),"N")</f>
        <v>N</v>
      </c>
      <c r="T181" s="103">
        <f ca="1">IFERROR(__xludf.DUMMYFUNCTION("""COMPUTED_VALUE"""),2)</f>
        <v>2</v>
      </c>
      <c r="U181" s="103"/>
      <c r="V181" s="103"/>
      <c r="W181" s="103"/>
      <c r="X181" s="103"/>
      <c r="Y181" s="103"/>
      <c r="Z181" s="103"/>
      <c r="AA181" s="103"/>
      <c r="AB181" s="103"/>
      <c r="AC181" s="103"/>
      <c r="AD181" s="103">
        <f ca="1">IFERROR(__xludf.DUMMYFUNCTION("""COMPUTED_VALUE"""),84)</f>
        <v>84</v>
      </c>
      <c r="AE181" s="103">
        <f ca="1">IFERROR(__xludf.DUMMYFUNCTION("""COMPUTED_VALUE"""),38.2)</f>
        <v>38.200000000000003</v>
      </c>
      <c r="AF181" s="103">
        <f ca="1">IFERROR(__xludf.DUMMYFUNCTION("""COMPUTED_VALUE"""),300)</f>
        <v>300</v>
      </c>
      <c r="AG181" s="103">
        <f ca="1">IFERROR(__xludf.DUMMYFUNCTION("""COMPUTED_VALUE"""),7)</f>
        <v>7</v>
      </c>
      <c r="AH181" s="103">
        <f ca="1">IFERROR(__xludf.DUMMYFUNCTION("""COMPUTED_VALUE"""),10)</f>
        <v>10</v>
      </c>
      <c r="AI181" s="103">
        <f ca="1">IFERROR(__xludf.DUMMYFUNCTION("""COMPUTED_VALUE"""),630)</f>
        <v>630</v>
      </c>
      <c r="AJ181" s="103" t="str">
        <f ca="1">IFERROR(__xludf.DUMMYFUNCTION("""COMPUTED_VALUE"""),"MORS")</f>
        <v>MORS</v>
      </c>
      <c r="AK181" s="103">
        <f ca="1">IFERROR(__xludf.DUMMYFUNCTION("""COMPUTED_VALUE"""),15)</f>
        <v>15</v>
      </c>
      <c r="AL181" s="103"/>
      <c r="AM181" s="103">
        <f ca="1">IFERROR(__xludf.DUMMYFUNCTION("""COMPUTED_VALUE"""),2)</f>
        <v>2</v>
      </c>
      <c r="AN181" s="103" t="str">
        <f ca="1">IFERROR(__xludf.DUMMYFUNCTION("""COMPUTED_VALUE"""),"Eye color = orange-red")</f>
        <v>Eye color = orange-red</v>
      </c>
      <c r="AO181" s="57" t="str">
        <f ca="1">IFERROR(__xludf.DUMMYFUNCTION("""COMPUTED_VALUE"""),"R")</f>
        <v>R</v>
      </c>
      <c r="AP181" s="103">
        <f ca="1">IFERROR(__xludf.DUMMYFUNCTION("""COMPUTED_VALUE"""),3)</f>
        <v>3</v>
      </c>
    </row>
    <row r="182" spans="1:42">
      <c r="A182" s="103">
        <f ca="1">IFERROR(__xludf.DUMMYFUNCTION("""COMPUTED_VALUE"""),3)</f>
        <v>3</v>
      </c>
      <c r="B182" s="103" t="str">
        <f ca="1">IFERROR(__xludf.DUMMYFUNCTION("""COMPUTED_VALUE"""),"JHT")</f>
        <v>JHT</v>
      </c>
      <c r="C182" s="103" t="str">
        <f ca="1">IFERROR(__xludf.DUMMYFUNCTION("""COMPUTED_VALUE"""),"R")</f>
        <v>R</v>
      </c>
      <c r="D182" s="103">
        <f ca="1">IFERROR(__xludf.DUMMYFUNCTION("""COMPUTED_VALUE"""),135291871)</f>
        <v>135291871</v>
      </c>
      <c r="E182" s="103" t="str">
        <f ca="1">IFERROR(__xludf.DUMMYFUNCTION("""COMPUTED_VALUE"""),"Spotted Towhee")</f>
        <v>Spotted Towhee</v>
      </c>
      <c r="F182" s="103" t="str">
        <f ca="1">IFERROR(__xludf.DUMMYFUNCTION("""COMPUTED_VALUE"""),"SPTO")</f>
        <v>SPTO</v>
      </c>
      <c r="G182" s="103">
        <f ca="1">IFERROR(__xludf.DUMMYFUNCTION("""COMPUTED_VALUE"""),2)</f>
        <v>2</v>
      </c>
      <c r="H182" s="103" t="str">
        <f ca="1">IFERROR(__xludf.DUMMYFUNCTION("""COMPUTED_VALUE"""),"I")</f>
        <v>I</v>
      </c>
      <c r="I182" s="103" t="str">
        <f ca="1">IFERROR(__xludf.DUMMYFUNCTION("""COMPUTED_VALUE"""),"P")</f>
        <v>P</v>
      </c>
      <c r="J182" s="103" t="str">
        <f ca="1">IFERROR(__xludf.DUMMYFUNCTION("""COMPUTED_VALUE"""),"FCJ")</f>
        <v>FCJ</v>
      </c>
      <c r="K182" s="103" t="str">
        <f ca="1">IFERROR(__xludf.DUMMYFUNCTION("""COMPUTED_VALUE"""),"U")</f>
        <v>U</v>
      </c>
      <c r="L182" s="103"/>
      <c r="M182" s="103"/>
      <c r="N182" s="103">
        <f ca="1">IFERROR(__xludf.DUMMYFUNCTION("""COMPUTED_VALUE"""),4)</f>
        <v>4</v>
      </c>
      <c r="O182" s="103">
        <f ca="1">IFERROR(__xludf.DUMMYFUNCTION("""COMPUTED_VALUE"""),0)</f>
        <v>0</v>
      </c>
      <c r="P182" s="103">
        <f ca="1">IFERROR(__xludf.DUMMYFUNCTION("""COMPUTED_VALUE"""),0)</f>
        <v>0</v>
      </c>
      <c r="Q182" s="103">
        <f ca="1">IFERROR(__xludf.DUMMYFUNCTION("""COMPUTED_VALUE"""),0)</f>
        <v>0</v>
      </c>
      <c r="R182" s="103">
        <f ca="1">IFERROR(__xludf.DUMMYFUNCTION("""COMPUTED_VALUE"""),0)</f>
        <v>0</v>
      </c>
      <c r="S182" s="103" t="str">
        <f ca="1">IFERROR(__xludf.DUMMYFUNCTION("""COMPUTED_VALUE"""),"N")</f>
        <v>N</v>
      </c>
      <c r="T182" s="103">
        <f ca="1">IFERROR(__xludf.DUMMYFUNCTION("""COMPUTED_VALUE"""),1)</f>
        <v>1</v>
      </c>
      <c r="U182" s="103">
        <f ca="1">IFERROR(__xludf.DUMMYFUNCTION("""COMPUTED_VALUE"""),3)</f>
        <v>3</v>
      </c>
      <c r="V182" s="103"/>
      <c r="W182" s="103"/>
      <c r="X182" s="103"/>
      <c r="Y182" s="103"/>
      <c r="Z182" s="103"/>
      <c r="AA182" s="103"/>
      <c r="AB182" s="103"/>
      <c r="AC182" s="103"/>
      <c r="AD182" s="103">
        <f ca="1">IFERROR(__xludf.DUMMYFUNCTION("""COMPUTED_VALUE"""),77)</f>
        <v>77</v>
      </c>
      <c r="AE182" s="103">
        <f ca="1">IFERROR(__xludf.DUMMYFUNCTION("""COMPUTED_VALUE"""),34.8)</f>
        <v>34.799999999999997</v>
      </c>
      <c r="AF182" s="103">
        <f ca="1">IFERROR(__xludf.DUMMYFUNCTION("""COMPUTED_VALUE"""),300)</f>
        <v>300</v>
      </c>
      <c r="AG182" s="103">
        <f ca="1">IFERROR(__xludf.DUMMYFUNCTION("""COMPUTED_VALUE"""),7)</f>
        <v>7</v>
      </c>
      <c r="AH182" s="103">
        <f ca="1">IFERROR(__xludf.DUMMYFUNCTION("""COMPUTED_VALUE"""),10)</f>
        <v>10</v>
      </c>
      <c r="AI182" s="103">
        <f ca="1">IFERROR(__xludf.DUMMYFUNCTION("""COMPUTED_VALUE"""),7)</f>
        <v>7</v>
      </c>
      <c r="AJ182" s="103" t="str">
        <f ca="1">IFERROR(__xludf.DUMMYFUNCTION("""COMPUTED_VALUE"""),"MORS")</f>
        <v>MORS</v>
      </c>
      <c r="AK182" s="103">
        <f ca="1">IFERROR(__xludf.DUMMYFUNCTION("""COMPUTED_VALUE"""),15)</f>
        <v>15</v>
      </c>
      <c r="AL182" s="103"/>
      <c r="AM182" s="103">
        <f ca="1">IFERROR(__xludf.DUMMYFUNCTION("""COMPUTED_VALUE"""),3)</f>
        <v>3</v>
      </c>
      <c r="AN182" s="103" t="str">
        <f ca="1">IFERROR(__xludf.DUMMYFUNCTION("""COMPUTED_VALUE"""),"All rects retained sheath. Rects look fully grown. White on RR6 17mm, RR5 9mm, RR4 0.")</f>
        <v>All rects retained sheath. Rects look fully grown. White on RR6 17mm, RR5 9mm, RR4 0.</v>
      </c>
      <c r="AO182" s="57" t="str">
        <f ca="1">IFERROR(__xludf.DUMMYFUNCTION("""COMPUTED_VALUE"""),"R")</f>
        <v>R</v>
      </c>
      <c r="AP182" s="103">
        <f ca="1">IFERROR(__xludf.DUMMYFUNCTION("""COMPUTED_VALUE"""),3)</f>
        <v>3</v>
      </c>
    </row>
    <row r="183" spans="1:42">
      <c r="A183" s="103">
        <f ca="1">IFERROR(__xludf.DUMMYFUNCTION("""COMPUTED_VALUE"""),4)</f>
        <v>4</v>
      </c>
      <c r="B183" s="103" t="str">
        <f ca="1">IFERROR(__xludf.DUMMYFUNCTION("""COMPUTED_VALUE"""),"JHT")</f>
        <v>JHT</v>
      </c>
      <c r="C183" s="103" t="str">
        <f ca="1">IFERROR(__xludf.DUMMYFUNCTION("""COMPUTED_VALUE"""),"N")</f>
        <v>N</v>
      </c>
      <c r="D183" s="103">
        <f ca="1">IFERROR(__xludf.DUMMYFUNCTION("""COMPUTED_VALUE"""),290077843)</f>
        <v>290077843</v>
      </c>
      <c r="E183" s="103" t="str">
        <f ca="1">IFERROR(__xludf.DUMMYFUNCTION("""COMPUTED_VALUE"""),"Bushtit")</f>
        <v>Bushtit</v>
      </c>
      <c r="F183" s="103" t="str">
        <f ca="1">IFERROR(__xludf.DUMMYFUNCTION("""COMPUTED_VALUE"""),"BUSH")</f>
        <v>BUSH</v>
      </c>
      <c r="G183" s="103">
        <f ca="1">IFERROR(__xludf.DUMMYFUNCTION("""COMPUTED_VALUE"""),1)</f>
        <v>1</v>
      </c>
      <c r="H183" s="103" t="str">
        <f ca="1">IFERROR(__xludf.DUMMYFUNCTION("""COMPUTED_VALUE"""),"S")</f>
        <v>S</v>
      </c>
      <c r="I183" s="103" t="str">
        <f ca="1">IFERROR(__xludf.DUMMYFUNCTION("""COMPUTED_VALUE"""),"B")</f>
        <v>B</v>
      </c>
      <c r="J183" s="103" t="str">
        <f ca="1">IFERROR(__xludf.DUMMYFUNCTION("""COMPUTED_VALUE"""),"UAJ")</f>
        <v>UAJ</v>
      </c>
      <c r="K183" s="103" t="str">
        <f ca="1">IFERROR(__xludf.DUMMYFUNCTION("""COMPUTED_VALUE"""),"F")</f>
        <v>F</v>
      </c>
      <c r="L183" s="103" t="str">
        <f ca="1">IFERROR(__xludf.DUMMYFUNCTION("""COMPUTED_VALUE"""),"E")</f>
        <v>E</v>
      </c>
      <c r="M183" s="103" t="str">
        <f ca="1">IFERROR(__xludf.DUMMYFUNCTION("""COMPUTED_VALUE"""),"B")</f>
        <v>B</v>
      </c>
      <c r="N183" s="103">
        <f ca="1">IFERROR(__xludf.DUMMYFUNCTION("""COMPUTED_VALUE"""),6)</f>
        <v>6</v>
      </c>
      <c r="O183" s="103">
        <f ca="1">IFERROR(__xludf.DUMMYFUNCTION("""COMPUTED_VALUE"""),0)</f>
        <v>0</v>
      </c>
      <c r="P183" s="103">
        <f ca="1">IFERROR(__xludf.DUMMYFUNCTION("""COMPUTED_VALUE"""),2)</f>
        <v>2</v>
      </c>
      <c r="Q183" s="103">
        <f ca="1">IFERROR(__xludf.DUMMYFUNCTION("""COMPUTED_VALUE"""),3)</f>
        <v>3</v>
      </c>
      <c r="R183" s="103">
        <f ca="1">IFERROR(__xludf.DUMMYFUNCTION("""COMPUTED_VALUE"""),1)</f>
        <v>1</v>
      </c>
      <c r="S183" s="103" t="str">
        <f ca="1">IFERROR(__xludf.DUMMYFUNCTION("""COMPUTED_VALUE"""),"N")</f>
        <v>N</v>
      </c>
      <c r="T183" s="103">
        <f ca="1">IFERROR(__xludf.DUMMYFUNCTION("""COMPUTED_VALUE"""),2)</f>
        <v>2</v>
      </c>
      <c r="U183" s="103"/>
      <c r="V183" s="103"/>
      <c r="W183" s="103"/>
      <c r="X183" s="103"/>
      <c r="Y183" s="103"/>
      <c r="Z183" s="103"/>
      <c r="AA183" s="103"/>
      <c r="AB183" s="103"/>
      <c r="AC183" s="103"/>
      <c r="AD183" s="103">
        <f ca="1">IFERROR(__xludf.DUMMYFUNCTION("""COMPUTED_VALUE"""),46)</f>
        <v>46</v>
      </c>
      <c r="AE183" s="103">
        <f ca="1">IFERROR(__xludf.DUMMYFUNCTION("""COMPUTED_VALUE"""),5.5)</f>
        <v>5.5</v>
      </c>
      <c r="AF183" s="103">
        <f ca="1">IFERROR(__xludf.DUMMYFUNCTION("""COMPUTED_VALUE"""),300)</f>
        <v>300</v>
      </c>
      <c r="AG183" s="103">
        <f ca="1">IFERROR(__xludf.DUMMYFUNCTION("""COMPUTED_VALUE"""),7)</f>
        <v>7</v>
      </c>
      <c r="AH183" s="103">
        <f ca="1">IFERROR(__xludf.DUMMYFUNCTION("""COMPUTED_VALUE"""),10)</f>
        <v>10</v>
      </c>
      <c r="AI183" s="103">
        <f ca="1">IFERROR(__xludf.DUMMYFUNCTION("""COMPUTED_VALUE"""),740)</f>
        <v>740</v>
      </c>
      <c r="AJ183" s="103" t="str">
        <f ca="1">IFERROR(__xludf.DUMMYFUNCTION("""COMPUTED_VALUE"""),"MORS")</f>
        <v>MORS</v>
      </c>
      <c r="AK183" s="103">
        <f ca="1">IFERROR(__xludf.DUMMYFUNCTION("""COMPUTED_VALUE"""),6)</f>
        <v>6</v>
      </c>
      <c r="AL183" s="103"/>
      <c r="AM183" s="103"/>
      <c r="AN183" s="103"/>
      <c r="AO183" s="57" t="str">
        <f ca="1">IFERROR(__xludf.DUMMYFUNCTION("""COMPUTED_VALUE"""),"0A")</f>
        <v>0A</v>
      </c>
      <c r="AP183" s="103">
        <f ca="1">IFERROR(__xludf.DUMMYFUNCTION("""COMPUTED_VALUE"""),3)</f>
        <v>3</v>
      </c>
    </row>
    <row r="184" spans="1:42">
      <c r="A184" s="103">
        <f ca="1">IFERROR(__xludf.DUMMYFUNCTION("""COMPUTED_VALUE"""),5)</f>
        <v>5</v>
      </c>
      <c r="B184" s="103" t="str">
        <f ca="1">IFERROR(__xludf.DUMMYFUNCTION("""COMPUTED_VALUE"""),"JHT")</f>
        <v>JHT</v>
      </c>
      <c r="C184" s="103" t="str">
        <f ca="1">IFERROR(__xludf.DUMMYFUNCTION("""COMPUTED_VALUE"""),"N")</f>
        <v>N</v>
      </c>
      <c r="D184" s="103">
        <f ca="1">IFERROR(__xludf.DUMMYFUNCTION("""COMPUTED_VALUE"""),290077846)</f>
        <v>290077846</v>
      </c>
      <c r="E184" s="103" t="str">
        <f ca="1">IFERROR(__xludf.DUMMYFUNCTION("""COMPUTED_VALUE"""),"Bushtit")</f>
        <v>Bushtit</v>
      </c>
      <c r="F184" s="103" t="str">
        <f ca="1">IFERROR(__xludf.DUMMYFUNCTION("""COMPUTED_VALUE"""),"BUSH")</f>
        <v>BUSH</v>
      </c>
      <c r="G184" s="103">
        <f ca="1">IFERROR(__xludf.DUMMYFUNCTION("""COMPUTED_VALUE"""),1)</f>
        <v>1</v>
      </c>
      <c r="H184" s="103" t="str">
        <f ca="1">IFERROR(__xludf.DUMMYFUNCTION("""COMPUTED_VALUE"""),"S")</f>
        <v>S</v>
      </c>
      <c r="I184" s="103" t="str">
        <f ca="1">IFERROR(__xludf.DUMMYFUNCTION("""COMPUTED_VALUE"""),"B")</f>
        <v>B</v>
      </c>
      <c r="J184" s="103" t="str">
        <f ca="1">IFERROR(__xludf.DUMMYFUNCTION("""COMPUTED_VALUE"""),"UAJ")</f>
        <v>UAJ</v>
      </c>
      <c r="K184" s="103" t="str">
        <f ca="1">IFERROR(__xludf.DUMMYFUNCTION("""COMPUTED_VALUE"""),"F")</f>
        <v>F</v>
      </c>
      <c r="L184" s="103" t="str">
        <f ca="1">IFERROR(__xludf.DUMMYFUNCTION("""COMPUTED_VALUE"""),"E")</f>
        <v>E</v>
      </c>
      <c r="M184" s="103" t="str">
        <f ca="1">IFERROR(__xludf.DUMMYFUNCTION("""COMPUTED_VALUE"""),"B")</f>
        <v>B</v>
      </c>
      <c r="N184" s="103">
        <f ca="1">IFERROR(__xludf.DUMMYFUNCTION("""COMPUTED_VALUE"""),6)</f>
        <v>6</v>
      </c>
      <c r="O184" s="103">
        <f ca="1">IFERROR(__xludf.DUMMYFUNCTION("""COMPUTED_VALUE"""),0)</f>
        <v>0</v>
      </c>
      <c r="P184" s="103">
        <f ca="1">IFERROR(__xludf.DUMMYFUNCTION("""COMPUTED_VALUE"""),2)</f>
        <v>2</v>
      </c>
      <c r="Q184" s="103">
        <f ca="1">IFERROR(__xludf.DUMMYFUNCTION("""COMPUTED_VALUE"""),3)</f>
        <v>3</v>
      </c>
      <c r="R184" s="103">
        <f ca="1">IFERROR(__xludf.DUMMYFUNCTION("""COMPUTED_VALUE"""),0)</f>
        <v>0</v>
      </c>
      <c r="S184" s="103" t="str">
        <f ca="1">IFERROR(__xludf.DUMMYFUNCTION("""COMPUTED_VALUE"""),"N")</f>
        <v>N</v>
      </c>
      <c r="T184" s="103">
        <f ca="1">IFERROR(__xludf.DUMMYFUNCTION("""COMPUTED_VALUE"""),2)</f>
        <v>2</v>
      </c>
      <c r="U184" s="103"/>
      <c r="V184" s="103"/>
      <c r="W184" s="103"/>
      <c r="X184" s="103"/>
      <c r="Y184" s="103"/>
      <c r="Z184" s="103"/>
      <c r="AA184" s="103"/>
      <c r="AB184" s="103"/>
      <c r="AC184" s="103"/>
      <c r="AD184" s="103">
        <f ca="1">IFERROR(__xludf.DUMMYFUNCTION("""COMPUTED_VALUE"""),46)</f>
        <v>46</v>
      </c>
      <c r="AE184" s="103">
        <f ca="1">IFERROR(__xludf.DUMMYFUNCTION("""COMPUTED_VALUE"""),5.4)</f>
        <v>5.4</v>
      </c>
      <c r="AF184" s="103">
        <f ca="1">IFERROR(__xludf.DUMMYFUNCTION("""COMPUTED_VALUE"""),300)</f>
        <v>300</v>
      </c>
      <c r="AG184" s="103">
        <f ca="1">IFERROR(__xludf.DUMMYFUNCTION("""COMPUTED_VALUE"""),7)</f>
        <v>7</v>
      </c>
      <c r="AH184" s="103">
        <f ca="1">IFERROR(__xludf.DUMMYFUNCTION("""COMPUTED_VALUE"""),10)</f>
        <v>10</v>
      </c>
      <c r="AI184" s="103">
        <f ca="1">IFERROR(__xludf.DUMMYFUNCTION("""COMPUTED_VALUE"""),740)</f>
        <v>740</v>
      </c>
      <c r="AJ184" s="103" t="str">
        <f ca="1">IFERROR(__xludf.DUMMYFUNCTION("""COMPUTED_VALUE"""),"MORS")</f>
        <v>MORS</v>
      </c>
      <c r="AK184" s="103">
        <f ca="1">IFERROR(__xludf.DUMMYFUNCTION("""COMPUTED_VALUE"""),6)</f>
        <v>6</v>
      </c>
      <c r="AL184" s="103"/>
      <c r="AM184" s="103"/>
      <c r="AN184" s="103"/>
      <c r="AO184" s="57" t="str">
        <f ca="1">IFERROR(__xludf.DUMMYFUNCTION("""COMPUTED_VALUE"""),"0A")</f>
        <v>0A</v>
      </c>
      <c r="AP184" s="103">
        <f ca="1">IFERROR(__xludf.DUMMYFUNCTION("""COMPUTED_VALUE"""),3)</f>
        <v>3</v>
      </c>
    </row>
    <row r="185" spans="1:42">
      <c r="A185" s="103">
        <f ca="1">IFERROR(__xludf.DUMMYFUNCTION("""COMPUTED_VALUE"""),6)</f>
        <v>6</v>
      </c>
      <c r="B185" s="103" t="str">
        <f ca="1">IFERROR(__xludf.DUMMYFUNCTION("""COMPUTED_VALUE"""),"GEJ")</f>
        <v>GEJ</v>
      </c>
      <c r="C185" s="103" t="str">
        <f ca="1">IFERROR(__xludf.DUMMYFUNCTION("""COMPUTED_VALUE"""),"N")</f>
        <v>N</v>
      </c>
      <c r="D185" s="103">
        <f ca="1">IFERROR(__xludf.DUMMYFUNCTION("""COMPUTED_VALUE"""),290077848)</f>
        <v>290077848</v>
      </c>
      <c r="E185" s="103" t="str">
        <f ca="1">IFERROR(__xludf.DUMMYFUNCTION("""COMPUTED_VALUE"""),"Bushtit")</f>
        <v>Bushtit</v>
      </c>
      <c r="F185" s="103" t="str">
        <f ca="1">IFERROR(__xludf.DUMMYFUNCTION("""COMPUTED_VALUE"""),"BUSH")</f>
        <v>BUSH</v>
      </c>
      <c r="G185" s="103">
        <f ca="1">IFERROR(__xludf.DUMMYFUNCTION("""COMPUTED_VALUE"""),2)</f>
        <v>2</v>
      </c>
      <c r="H185" s="103" t="str">
        <f ca="1">IFERROR(__xludf.DUMMYFUNCTION("""COMPUTED_VALUE"""),"S")</f>
        <v>S</v>
      </c>
      <c r="I185" s="103" t="str">
        <f ca="1">IFERROR(__xludf.DUMMYFUNCTION("""COMPUTED_VALUE"""),"P")</f>
        <v>P</v>
      </c>
      <c r="J185" s="103" t="str">
        <f ca="1">IFERROR(__xludf.DUMMYFUNCTION("""COMPUTED_VALUE"""),"FCJ")</f>
        <v>FCJ</v>
      </c>
      <c r="K185" s="103" t="str">
        <f ca="1">IFERROR(__xludf.DUMMYFUNCTION("""COMPUTED_VALUE"""),"M")</f>
        <v>M</v>
      </c>
      <c r="L185" s="103" t="str">
        <f ca="1">IFERROR(__xludf.DUMMYFUNCTION("""COMPUTED_VALUE"""),"E")</f>
        <v>E</v>
      </c>
      <c r="M185" s="103"/>
      <c r="N185" s="103">
        <f ca="1">IFERROR(__xludf.DUMMYFUNCTION("""COMPUTED_VALUE"""),2)</f>
        <v>2</v>
      </c>
      <c r="O185" s="103">
        <f ca="1">IFERROR(__xludf.DUMMYFUNCTION("""COMPUTED_VALUE"""),0)</f>
        <v>0</v>
      </c>
      <c r="P185" s="103">
        <f ca="1">IFERROR(__xludf.DUMMYFUNCTION("""COMPUTED_VALUE"""),0)</f>
        <v>0</v>
      </c>
      <c r="Q185" s="103">
        <f ca="1">IFERROR(__xludf.DUMMYFUNCTION("""COMPUTED_VALUE"""),2)</f>
        <v>2</v>
      </c>
      <c r="R185" s="103">
        <f ca="1">IFERROR(__xludf.DUMMYFUNCTION("""COMPUTED_VALUE"""),0)</f>
        <v>0</v>
      </c>
      <c r="S185" s="103" t="str">
        <f ca="1">IFERROR(__xludf.DUMMYFUNCTION("""COMPUTED_VALUE"""),"N")</f>
        <v>N</v>
      </c>
      <c r="T185" s="103">
        <f ca="1">IFERROR(__xludf.DUMMYFUNCTION("""COMPUTED_VALUE"""),2)</f>
        <v>2</v>
      </c>
      <c r="U185" s="103"/>
      <c r="V185" s="103"/>
      <c r="W185" s="103"/>
      <c r="X185" s="103"/>
      <c r="Y185" s="103"/>
      <c r="Z185" s="103"/>
      <c r="AA185" s="103"/>
      <c r="AB185" s="103"/>
      <c r="AC185" s="103"/>
      <c r="AD185" s="103">
        <f ca="1">IFERROR(__xludf.DUMMYFUNCTION("""COMPUTED_VALUE"""),47)</f>
        <v>47</v>
      </c>
      <c r="AE185" s="103">
        <f ca="1">IFERROR(__xludf.DUMMYFUNCTION("""COMPUTED_VALUE"""),5.3)</f>
        <v>5.3</v>
      </c>
      <c r="AF185" s="103">
        <f ca="1">IFERROR(__xludf.DUMMYFUNCTION("""COMPUTED_VALUE"""),300)</f>
        <v>300</v>
      </c>
      <c r="AG185" s="103">
        <f ca="1">IFERROR(__xludf.DUMMYFUNCTION("""COMPUTED_VALUE"""),7)</f>
        <v>7</v>
      </c>
      <c r="AH185" s="103">
        <f ca="1">IFERROR(__xludf.DUMMYFUNCTION("""COMPUTED_VALUE"""),10)</f>
        <v>10</v>
      </c>
      <c r="AI185" s="103">
        <f ca="1">IFERROR(__xludf.DUMMYFUNCTION("""COMPUTED_VALUE"""),740)</f>
        <v>740</v>
      </c>
      <c r="AJ185" s="103" t="str">
        <f ca="1">IFERROR(__xludf.DUMMYFUNCTION("""COMPUTED_VALUE"""),"MORS")</f>
        <v>MORS</v>
      </c>
      <c r="AK185" s="103">
        <f ca="1">IFERROR(__xludf.DUMMYFUNCTION("""COMPUTED_VALUE"""),6)</f>
        <v>6</v>
      </c>
      <c r="AL185" s="103"/>
      <c r="AM185" s="103"/>
      <c r="AN185" s="103"/>
      <c r="AO185" s="57" t="str">
        <f ca="1">IFERROR(__xludf.DUMMYFUNCTION("""COMPUTED_VALUE"""),"0A")</f>
        <v>0A</v>
      </c>
      <c r="AP185" s="103">
        <f ca="1">IFERROR(__xludf.DUMMYFUNCTION("""COMPUTED_VALUE"""),3)</f>
        <v>3</v>
      </c>
    </row>
    <row r="186" spans="1:42">
      <c r="A186" s="103">
        <f ca="1">IFERROR(__xludf.DUMMYFUNCTION("""COMPUTED_VALUE"""),7)</f>
        <v>7</v>
      </c>
      <c r="B186" s="103" t="str">
        <f ca="1">IFERROR(__xludf.DUMMYFUNCTION("""COMPUTED_VALUE"""),"JHT")</f>
        <v>JHT</v>
      </c>
      <c r="C186" s="103" t="str">
        <f ca="1">IFERROR(__xludf.DUMMYFUNCTION("""COMPUTED_VALUE"""),"R")</f>
        <v>R</v>
      </c>
      <c r="D186" s="103">
        <f ca="1">IFERROR(__xludf.DUMMYFUNCTION("""COMPUTED_VALUE"""),804191913)</f>
        <v>804191913</v>
      </c>
      <c r="E186" s="103" t="str">
        <f ca="1">IFERROR(__xludf.DUMMYFUNCTION("""COMPUTED_VALUE"""),"Spotted Towhee")</f>
        <v>Spotted Towhee</v>
      </c>
      <c r="F186" s="103" t="str">
        <f ca="1">IFERROR(__xludf.DUMMYFUNCTION("""COMPUTED_VALUE"""),"SPTO")</f>
        <v>SPTO</v>
      </c>
      <c r="G186" s="103">
        <f ca="1">IFERROR(__xludf.DUMMYFUNCTION("""COMPUTED_VALUE"""),1)</f>
        <v>1</v>
      </c>
      <c r="H186" s="103" t="str">
        <f ca="1">IFERROR(__xludf.DUMMYFUNCTION("""COMPUTED_VALUE"""),"S")</f>
        <v>S</v>
      </c>
      <c r="I186" s="103" t="str">
        <f ca="1">IFERROR(__xludf.DUMMYFUNCTION("""COMPUTED_VALUE"""),"P")</f>
        <v>P</v>
      </c>
      <c r="J186" s="103" t="str">
        <f ca="1">IFERROR(__xludf.DUMMYFUNCTION("""COMPUTED_VALUE"""),"UAJ")</f>
        <v>UAJ</v>
      </c>
      <c r="K186" s="103" t="str">
        <f ca="1">IFERROR(__xludf.DUMMYFUNCTION("""COMPUTED_VALUE"""),"F")</f>
        <v>F</v>
      </c>
      <c r="L186" s="103" t="str">
        <f ca="1">IFERROR(__xludf.DUMMYFUNCTION("""COMPUTED_VALUE"""),"B")</f>
        <v>B</v>
      </c>
      <c r="M186" s="103" t="str">
        <f ca="1">IFERROR(__xludf.DUMMYFUNCTION("""COMPUTED_VALUE"""),"P")</f>
        <v>P</v>
      </c>
      <c r="N186" s="103">
        <f ca="1">IFERROR(__xludf.DUMMYFUNCTION("""COMPUTED_VALUE"""),6)</f>
        <v>6</v>
      </c>
      <c r="O186" s="103">
        <f ca="1">IFERROR(__xludf.DUMMYFUNCTION("""COMPUTED_VALUE"""),0)</f>
        <v>0</v>
      </c>
      <c r="P186" s="103">
        <f ca="1">IFERROR(__xludf.DUMMYFUNCTION("""COMPUTED_VALUE"""),4)</f>
        <v>4</v>
      </c>
      <c r="Q186" s="103">
        <f ca="1">IFERROR(__xludf.DUMMYFUNCTION("""COMPUTED_VALUE"""),1)</f>
        <v>1</v>
      </c>
      <c r="R186" s="103">
        <f ca="1">IFERROR(__xludf.DUMMYFUNCTION("""COMPUTED_VALUE"""),0)</f>
        <v>0</v>
      </c>
      <c r="S186" s="103" t="str">
        <f ca="1">IFERROR(__xludf.DUMMYFUNCTION("""COMPUTED_VALUE"""),"N")</f>
        <v>N</v>
      </c>
      <c r="T186" s="103">
        <f ca="1">IFERROR(__xludf.DUMMYFUNCTION("""COMPUTED_VALUE"""),3)</f>
        <v>3</v>
      </c>
      <c r="U186" s="103"/>
      <c r="V186" s="103"/>
      <c r="W186" s="103"/>
      <c r="X186" s="103"/>
      <c r="Y186" s="103"/>
      <c r="Z186" s="103"/>
      <c r="AA186" s="103"/>
      <c r="AB186" s="103"/>
      <c r="AC186" s="103"/>
      <c r="AD186" s="103">
        <f ca="1">IFERROR(__xludf.DUMMYFUNCTION("""COMPUTED_VALUE"""),81)</f>
        <v>81</v>
      </c>
      <c r="AE186" s="103">
        <f ca="1">IFERROR(__xludf.DUMMYFUNCTION("""COMPUTED_VALUE"""),39.4)</f>
        <v>39.4</v>
      </c>
      <c r="AF186" s="103">
        <f ca="1">IFERROR(__xludf.DUMMYFUNCTION("""COMPUTED_VALUE"""),300)</f>
        <v>300</v>
      </c>
      <c r="AG186" s="103">
        <f ca="1">IFERROR(__xludf.DUMMYFUNCTION("""COMPUTED_VALUE"""),7)</f>
        <v>7</v>
      </c>
      <c r="AH186" s="103">
        <f ca="1">IFERROR(__xludf.DUMMYFUNCTION("""COMPUTED_VALUE"""),10)</f>
        <v>10</v>
      </c>
      <c r="AI186" s="103">
        <f ca="1">IFERROR(__xludf.DUMMYFUNCTION("""COMPUTED_VALUE"""),810)</f>
        <v>810</v>
      </c>
      <c r="AJ186" s="103" t="str">
        <f ca="1">IFERROR(__xludf.DUMMYFUNCTION("""COMPUTED_VALUE"""),"MORS")</f>
        <v>MORS</v>
      </c>
      <c r="AK186" s="103">
        <f ca="1">IFERROR(__xludf.DUMMYFUNCTION("""COMPUTED_VALUE"""),2)</f>
        <v>2</v>
      </c>
      <c r="AL186" s="103"/>
      <c r="AM186" s="103">
        <f ca="1">IFERROR(__xludf.DUMMYFUNCTION("""COMPUTED_VALUE"""),4)</f>
        <v>4</v>
      </c>
      <c r="AN186" s="103" t="str">
        <f ca="1">IFERROR(__xludf.DUMMYFUNCTION("""COMPUTED_VALUE"""),"No rects, all missing. Eye color still has an orange tint.")</f>
        <v>No rects, all missing. Eye color still has an orange tint.</v>
      </c>
      <c r="AO186" s="57" t="str">
        <f ca="1">IFERROR(__xludf.DUMMYFUNCTION("""COMPUTED_VALUE"""),"R")</f>
        <v>R</v>
      </c>
      <c r="AP186" s="103">
        <f ca="1">IFERROR(__xludf.DUMMYFUNCTION("""COMPUTED_VALUE"""),3)</f>
        <v>3</v>
      </c>
    </row>
    <row r="187" spans="1:42">
      <c r="A187" s="103">
        <f ca="1">IFERROR(__xludf.DUMMYFUNCTION("""COMPUTED_VALUE"""),8)</f>
        <v>8</v>
      </c>
      <c r="B187" s="103" t="str">
        <f ca="1">IFERROR(__xludf.DUMMYFUNCTION("""COMPUTED_VALUE"""),"GEJ")</f>
        <v>GEJ</v>
      </c>
      <c r="C187" s="103" t="str">
        <f ca="1">IFERROR(__xludf.DUMMYFUNCTION("""COMPUTED_VALUE"""),"R")</f>
        <v>R</v>
      </c>
      <c r="D187" s="103">
        <f ca="1">IFERROR(__xludf.DUMMYFUNCTION("""COMPUTED_VALUE"""),172176244)</f>
        <v>172176244</v>
      </c>
      <c r="E187" s="103" t="str">
        <f ca="1">IFERROR(__xludf.DUMMYFUNCTION("""COMPUTED_VALUE"""),"Song Sparrow")</f>
        <v>Song Sparrow</v>
      </c>
      <c r="F187" s="103" t="str">
        <f ca="1">IFERROR(__xludf.DUMMYFUNCTION("""COMPUTED_VALUE"""),"SOSP")</f>
        <v>SOSP</v>
      </c>
      <c r="G187" s="103">
        <f ca="1">IFERROR(__xludf.DUMMYFUNCTION("""COMPUTED_VALUE"""),1)</f>
        <v>1</v>
      </c>
      <c r="H187" s="103" t="str">
        <f ca="1">IFERROR(__xludf.DUMMYFUNCTION("""COMPUTED_VALUE"""),"P")</f>
        <v>P</v>
      </c>
      <c r="I187" s="103" t="str">
        <f ca="1">IFERROR(__xludf.DUMMYFUNCTION("""COMPUTED_VALUE"""),"C")</f>
        <v>C</v>
      </c>
      <c r="J187" s="103" t="str">
        <f ca="1">IFERROR(__xludf.DUMMYFUNCTION("""COMPUTED_VALUE"""),"UAJ")</f>
        <v>UAJ</v>
      </c>
      <c r="K187" s="103" t="str">
        <f ca="1">IFERROR(__xludf.DUMMYFUNCTION("""COMPUTED_VALUE"""),"M")</f>
        <v>M</v>
      </c>
      <c r="L187" s="103" t="str">
        <f ca="1">IFERROR(__xludf.DUMMYFUNCTION("""COMPUTED_VALUE"""),"C")</f>
        <v>C</v>
      </c>
      <c r="M187" s="103" t="str">
        <f ca="1">IFERROR(__xludf.DUMMYFUNCTION("""COMPUTED_VALUE"""),"P")</f>
        <v>P</v>
      </c>
      <c r="N187" s="103"/>
      <c r="O187" s="103">
        <f ca="1">IFERROR(__xludf.DUMMYFUNCTION("""COMPUTED_VALUE"""),3)</f>
        <v>3</v>
      </c>
      <c r="P187" s="103">
        <f ca="1">IFERROR(__xludf.DUMMYFUNCTION("""COMPUTED_VALUE"""),0)</f>
        <v>0</v>
      </c>
      <c r="Q187" s="103">
        <f ca="1">IFERROR(__xludf.DUMMYFUNCTION("""COMPUTED_VALUE"""),1)</f>
        <v>1</v>
      </c>
      <c r="R187" s="103">
        <f ca="1">IFERROR(__xludf.DUMMYFUNCTION("""COMPUTED_VALUE"""),0)</f>
        <v>0</v>
      </c>
      <c r="S187" s="103" t="str">
        <f ca="1">IFERROR(__xludf.DUMMYFUNCTION("""COMPUTED_VALUE"""),"N")</f>
        <v>N</v>
      </c>
      <c r="T187" s="103">
        <f ca="1">IFERROR(__xludf.DUMMYFUNCTION("""COMPUTED_VALUE"""),2)</f>
        <v>2</v>
      </c>
      <c r="U187" s="103"/>
      <c r="V187" s="103"/>
      <c r="W187" s="103"/>
      <c r="X187" s="103"/>
      <c r="Y187" s="103"/>
      <c r="Z187" s="103"/>
      <c r="AA187" s="103"/>
      <c r="AB187" s="103"/>
      <c r="AC187" s="103"/>
      <c r="AD187" s="103">
        <f ca="1">IFERROR(__xludf.DUMMYFUNCTION("""COMPUTED_VALUE"""),67)</f>
        <v>67</v>
      </c>
      <c r="AE187" s="103">
        <f ca="1">IFERROR(__xludf.DUMMYFUNCTION("""COMPUTED_VALUE"""),23.5)</f>
        <v>23.5</v>
      </c>
      <c r="AF187" s="103">
        <f ca="1">IFERROR(__xludf.DUMMYFUNCTION("""COMPUTED_VALUE"""),300)</f>
        <v>300</v>
      </c>
      <c r="AG187" s="103">
        <f ca="1">IFERROR(__xludf.DUMMYFUNCTION("""COMPUTED_VALUE"""),7)</f>
        <v>7</v>
      </c>
      <c r="AH187" s="103">
        <f ca="1">IFERROR(__xludf.DUMMYFUNCTION("""COMPUTED_VALUE"""),10)</f>
        <v>10</v>
      </c>
      <c r="AI187" s="103">
        <f ca="1">IFERROR(__xludf.DUMMYFUNCTION("""COMPUTED_VALUE"""),910)</f>
        <v>910</v>
      </c>
      <c r="AJ187" s="103" t="str">
        <f ca="1">IFERROR(__xludf.DUMMYFUNCTION("""COMPUTED_VALUE"""),"MORS")</f>
        <v>MORS</v>
      </c>
      <c r="AK187" s="103">
        <f ca="1">IFERROR(__xludf.DUMMYFUNCTION("""COMPUTED_VALUE"""),21)</f>
        <v>21</v>
      </c>
      <c r="AL187" s="103"/>
      <c r="AM187" s="103">
        <f ca="1">IFERROR(__xludf.DUMMYFUNCTION("""COMPUTED_VALUE"""),5)</f>
        <v>5</v>
      </c>
      <c r="AN187" s="103" t="str">
        <f ca="1">IFERROR(__xludf.DUMMYFUNCTION("""COMPUTED_VALUE"""),"Selft extracted while weighing so weight might be a little off")</f>
        <v>Selft extracted while weighing so weight might be a little off</v>
      </c>
      <c r="AO187" s="57" t="str">
        <f ca="1">IFERROR(__xludf.DUMMYFUNCTION("""COMPUTED_VALUE"""),"R")</f>
        <v>R</v>
      </c>
      <c r="AP187" s="103">
        <f ca="1">IFERROR(__xludf.DUMMYFUNCTION("""COMPUTED_VALUE"""),3)</f>
        <v>3</v>
      </c>
    </row>
    <row r="188" spans="1:42">
      <c r="A188" s="103">
        <f ca="1">IFERROR(__xludf.DUMMYFUNCTION("""COMPUTED_VALUE"""),9)</f>
        <v>9</v>
      </c>
      <c r="B188" s="103" t="str">
        <f ca="1">IFERROR(__xludf.DUMMYFUNCTION("""COMPUTED_VALUE"""),"JHT")</f>
        <v>JHT</v>
      </c>
      <c r="C188" s="103" t="str">
        <f ca="1">IFERROR(__xludf.DUMMYFUNCTION("""COMPUTED_VALUE"""),"N")</f>
        <v>N</v>
      </c>
      <c r="D188" s="103">
        <f ca="1">IFERROR(__xludf.DUMMYFUNCTION("""COMPUTED_VALUE"""),281191243)</f>
        <v>281191243</v>
      </c>
      <c r="E188" s="103" t="str">
        <f ca="1">IFERROR(__xludf.DUMMYFUNCTION("""COMPUTED_VALUE"""),"Oregon Junco")</f>
        <v>Oregon Junco</v>
      </c>
      <c r="F188" s="103" t="str">
        <f ca="1">IFERROR(__xludf.DUMMYFUNCTION("""COMPUTED_VALUE"""),"ORJU")</f>
        <v>ORJU</v>
      </c>
      <c r="G188" s="103">
        <f ca="1">IFERROR(__xludf.DUMMYFUNCTION("""COMPUTED_VALUE"""),5)</f>
        <v>5</v>
      </c>
      <c r="H188" s="103" t="str">
        <f ca="1">IFERROR(__xludf.DUMMYFUNCTION("""COMPUTED_VALUE"""),"P")</f>
        <v>P</v>
      </c>
      <c r="I188" s="103"/>
      <c r="J188" s="103" t="str">
        <f ca="1">IFERROR(__xludf.DUMMYFUNCTION("""COMPUTED_VALUE"""),"SPB")</f>
        <v>SPB</v>
      </c>
      <c r="K188" s="103" t="str">
        <f ca="1">IFERROR(__xludf.DUMMYFUNCTION("""COMPUTED_VALUE"""),"M")</f>
        <v>M</v>
      </c>
      <c r="L188" s="103" t="str">
        <f ca="1">IFERROR(__xludf.DUMMYFUNCTION("""COMPUTED_VALUE"""),"P")</f>
        <v>P</v>
      </c>
      <c r="M188" s="103"/>
      <c r="N188" s="103">
        <f ca="1">IFERROR(__xludf.DUMMYFUNCTION("""COMPUTED_VALUE"""),6)</f>
        <v>6</v>
      </c>
      <c r="O188" s="103">
        <f ca="1">IFERROR(__xludf.DUMMYFUNCTION("""COMPUTED_VALUE"""),0)</f>
        <v>0</v>
      </c>
      <c r="P188" s="103">
        <f ca="1">IFERROR(__xludf.DUMMYFUNCTION("""COMPUTED_VALUE"""),0)</f>
        <v>0</v>
      </c>
      <c r="Q188" s="103">
        <f ca="1">IFERROR(__xludf.DUMMYFUNCTION("""COMPUTED_VALUE"""),0)</f>
        <v>0</v>
      </c>
      <c r="R188" s="103">
        <f ca="1">IFERROR(__xludf.DUMMYFUNCTION("""COMPUTED_VALUE"""),0)</f>
        <v>0</v>
      </c>
      <c r="S188" s="103" t="str">
        <f ca="1">IFERROR(__xludf.DUMMYFUNCTION("""COMPUTED_VALUE"""),"S")</f>
        <v>S</v>
      </c>
      <c r="T188" s="103">
        <f ca="1">IFERROR(__xludf.DUMMYFUNCTION("""COMPUTED_VALUE"""),3)</f>
        <v>3</v>
      </c>
      <c r="U188" s="103"/>
      <c r="V188" s="103"/>
      <c r="W188" s="103"/>
      <c r="X188" s="103"/>
      <c r="Y188" s="103"/>
      <c r="Z188" s="103"/>
      <c r="AA188" s="103"/>
      <c r="AB188" s="103"/>
      <c r="AC188" s="103"/>
      <c r="AD188" s="103">
        <f ca="1">IFERROR(__xludf.DUMMYFUNCTION("""COMPUTED_VALUE"""),73)</f>
        <v>73</v>
      </c>
      <c r="AE188" s="103"/>
      <c r="AF188" s="103">
        <f ca="1">IFERROR(__xludf.DUMMYFUNCTION("""COMPUTED_VALUE"""),300)</f>
        <v>300</v>
      </c>
      <c r="AG188" s="103">
        <f ca="1">IFERROR(__xludf.DUMMYFUNCTION("""COMPUTED_VALUE"""),7)</f>
        <v>7</v>
      </c>
      <c r="AH188" s="103">
        <f ca="1">IFERROR(__xludf.DUMMYFUNCTION("""COMPUTED_VALUE"""),10)</f>
        <v>10</v>
      </c>
      <c r="AI188" s="103">
        <f ca="1">IFERROR(__xludf.DUMMYFUNCTION("""COMPUTED_VALUE"""),940)</f>
        <v>940</v>
      </c>
      <c r="AJ188" s="103" t="str">
        <f ca="1">IFERROR(__xludf.DUMMYFUNCTION("""COMPUTED_VALUE"""),"MORS")</f>
        <v>MORS</v>
      </c>
      <c r="AK188" s="103">
        <f ca="1">IFERROR(__xludf.DUMMYFUNCTION("""COMPUTED_VALUE"""),2)</f>
        <v>2</v>
      </c>
      <c r="AL188" s="103"/>
      <c r="AM188" s="103">
        <f ca="1">IFERROR(__xludf.DUMMYFUNCTION("""COMPUTED_VALUE"""),6)</f>
        <v>6</v>
      </c>
      <c r="AN188" s="103" t="str">
        <f ca="1">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 ca="1">IFERROR(__xludf.DUMMYFUNCTION("""COMPUTED_VALUE"""),1)</f>
        <v>1</v>
      </c>
      <c r="AP188" s="103">
        <f ca="1">IFERROR(__xludf.DUMMYFUNCTION("""COMPUTED_VALUE"""),3)</f>
        <v>3</v>
      </c>
    </row>
    <row r="189" spans="1:42">
      <c r="A189" s="103">
        <f ca="1">IFERROR(__xludf.DUMMYFUNCTION("""COMPUTED_VALUE"""),10)</f>
        <v>10</v>
      </c>
      <c r="B189" s="103" t="str">
        <f ca="1">IFERROR(__xludf.DUMMYFUNCTION("""COMPUTED_VALUE"""),"JHT")</f>
        <v>JHT</v>
      </c>
      <c r="C189" s="103" t="str">
        <f ca="1">IFERROR(__xludf.DUMMYFUNCTION("""COMPUTED_VALUE"""),"N")</f>
        <v>N</v>
      </c>
      <c r="D189" s="103">
        <f ca="1">IFERROR(__xludf.DUMMYFUNCTION("""COMPUTED_VALUE"""),172176250)</f>
        <v>172176250</v>
      </c>
      <c r="E189" s="103" t="str">
        <f ca="1">IFERROR(__xludf.DUMMYFUNCTION("""COMPUTED_VALUE"""),"Song Sparrow")</f>
        <v>Song Sparrow</v>
      </c>
      <c r="F189" s="103" t="str">
        <f ca="1">IFERROR(__xludf.DUMMYFUNCTION("""COMPUTED_VALUE"""),"SOSP")</f>
        <v>SOSP</v>
      </c>
      <c r="G189" s="103">
        <f ca="1">IFERROR(__xludf.DUMMYFUNCTION("""COMPUTED_VALUE"""),2)</f>
        <v>2</v>
      </c>
      <c r="H189" s="103" t="str">
        <f ca="1">IFERROR(__xludf.DUMMYFUNCTION("""COMPUTED_VALUE"""),"S")</f>
        <v>S</v>
      </c>
      <c r="I189" s="103" t="str">
        <f ca="1">IFERROR(__xludf.DUMMYFUNCTION("""COMPUTED_VALUE"""),"P")</f>
        <v>P</v>
      </c>
      <c r="J189" s="103" t="str">
        <f ca="1">IFERROR(__xludf.DUMMYFUNCTION("""COMPUTED_VALUE"""),"FCJ")</f>
        <v>FCJ</v>
      </c>
      <c r="K189" s="103" t="str">
        <f ca="1">IFERROR(__xludf.DUMMYFUNCTION("""COMPUTED_VALUE"""),"U")</f>
        <v>U</v>
      </c>
      <c r="L189" s="103"/>
      <c r="M189" s="103"/>
      <c r="N189" s="103">
        <f ca="1">IFERROR(__xludf.DUMMYFUNCTION("""COMPUTED_VALUE"""),5)</f>
        <v>5</v>
      </c>
      <c r="O189" s="103">
        <f ca="1">IFERROR(__xludf.DUMMYFUNCTION("""COMPUTED_VALUE"""),0)</f>
        <v>0</v>
      </c>
      <c r="P189" s="103">
        <f ca="1">IFERROR(__xludf.DUMMYFUNCTION("""COMPUTED_VALUE"""),0)</f>
        <v>0</v>
      </c>
      <c r="Q189" s="103">
        <f ca="1">IFERROR(__xludf.DUMMYFUNCTION("""COMPUTED_VALUE"""),0)</f>
        <v>0</v>
      </c>
      <c r="R189" s="103">
        <f ca="1">IFERROR(__xludf.DUMMYFUNCTION("""COMPUTED_VALUE"""),0)</f>
        <v>0</v>
      </c>
      <c r="S189" s="103" t="str">
        <f ca="1">IFERROR(__xludf.DUMMYFUNCTION("""COMPUTED_VALUE"""),"N")</f>
        <v>N</v>
      </c>
      <c r="T189" s="103">
        <f ca="1">IFERROR(__xludf.DUMMYFUNCTION("""COMPUTED_VALUE"""),1)</f>
        <v>1</v>
      </c>
      <c r="U189" s="103">
        <f ca="1">IFERROR(__xludf.DUMMYFUNCTION("""COMPUTED_VALUE"""),3)</f>
        <v>3</v>
      </c>
      <c r="V189" s="103"/>
      <c r="W189" s="103"/>
      <c r="X189" s="103"/>
      <c r="Y189" s="103"/>
      <c r="Z189" s="103"/>
      <c r="AA189" s="103"/>
      <c r="AB189" s="103"/>
      <c r="AC189" s="103"/>
      <c r="AD189" s="103">
        <f ca="1">IFERROR(__xludf.DUMMYFUNCTION("""COMPUTED_VALUE"""),67)</f>
        <v>67</v>
      </c>
      <c r="AE189" s="103">
        <f ca="1">IFERROR(__xludf.DUMMYFUNCTION("""COMPUTED_VALUE"""),21.3)</f>
        <v>21.3</v>
      </c>
      <c r="AF189" s="103">
        <f ca="1">IFERROR(__xludf.DUMMYFUNCTION("""COMPUTED_VALUE"""),300)</f>
        <v>300</v>
      </c>
      <c r="AG189" s="103">
        <f ca="1">IFERROR(__xludf.DUMMYFUNCTION("""COMPUTED_VALUE"""),7)</f>
        <v>7</v>
      </c>
      <c r="AH189" s="103">
        <f ca="1">IFERROR(__xludf.DUMMYFUNCTION("""COMPUTED_VALUE"""),10)</f>
        <v>10</v>
      </c>
      <c r="AI189" s="103">
        <f ca="1">IFERROR(__xludf.DUMMYFUNCTION("""COMPUTED_VALUE"""),1020)</f>
        <v>1020</v>
      </c>
      <c r="AJ189" s="103" t="str">
        <f ca="1">IFERROR(__xludf.DUMMYFUNCTION("""COMPUTED_VALUE"""),"MORS")</f>
        <v>MORS</v>
      </c>
      <c r="AK189" s="103">
        <f ca="1">IFERROR(__xludf.DUMMYFUNCTION("""COMPUTED_VALUE"""),6)</f>
        <v>6</v>
      </c>
      <c r="AL189" s="103"/>
      <c r="AM189" s="103">
        <f ca="1">IFERROR(__xludf.DUMMYFUNCTION("""COMPUTED_VALUE"""),7)</f>
        <v>7</v>
      </c>
      <c r="AN189" s="103" t="str">
        <f ca="1">IFERROR(__xludf.DUMMYFUNCTION("""COMPUTED_VALUE"""),"Adventitious molt of RR4, in sheath 85%")</f>
        <v>Adventitious molt of RR4, in sheath 85%</v>
      </c>
      <c r="AO189" s="57" t="str">
        <f ca="1">IFERROR(__xludf.DUMMYFUNCTION("""COMPUTED_VALUE"""),"1B")</f>
        <v>1B</v>
      </c>
      <c r="AP189" s="103">
        <f ca="1">IFERROR(__xludf.DUMMYFUNCTION("""COMPUTED_VALUE"""),3)</f>
        <v>3</v>
      </c>
    </row>
    <row r="190" spans="1:42">
      <c r="A190" s="103">
        <f ca="1">IFERROR(__xludf.DUMMYFUNCTION("""COMPUTED_VALUE"""),11)</f>
        <v>11</v>
      </c>
      <c r="B190" s="103" t="str">
        <f ca="1">IFERROR(__xludf.DUMMYFUNCTION("""COMPUTED_VALUE"""),"NDS")</f>
        <v>NDS</v>
      </c>
      <c r="C190" s="103" t="str">
        <f ca="1">IFERROR(__xludf.DUMMYFUNCTION("""COMPUTED_VALUE"""),"U")</f>
        <v>U</v>
      </c>
      <c r="D190" s="103"/>
      <c r="E190" s="103" t="str">
        <f ca="1">IFERROR(__xludf.DUMMYFUNCTION("""COMPUTED_VALUE"""),"Rufus Hummingbird")</f>
        <v>Rufus Hummingbird</v>
      </c>
      <c r="F190" s="103" t="str">
        <f ca="1">IFERROR(__xludf.DUMMYFUNCTION("""COMPUTED_VALUE"""),"RUHU")</f>
        <v>RUHU</v>
      </c>
      <c r="G190" s="103">
        <f ca="1">IFERROR(__xludf.DUMMYFUNCTION("""COMPUTED_VALUE"""),2)</f>
        <v>2</v>
      </c>
      <c r="H190" s="103" t="str">
        <f ca="1">IFERROR(__xludf.DUMMYFUNCTION("""COMPUTED_VALUE"""),"I")</f>
        <v>I</v>
      </c>
      <c r="I190" s="103" t="str">
        <f ca="1">IFERROR(__xludf.DUMMYFUNCTION("""COMPUTED_VALUE"""),"P")</f>
        <v>P</v>
      </c>
      <c r="J190" s="103" t="str">
        <f ca="1">IFERROR(__xludf.DUMMYFUNCTION("""COMPUTED_VALUE"""),"FPF")</f>
        <v>FPF</v>
      </c>
      <c r="K190" s="103" t="str">
        <f ca="1">IFERROR(__xludf.DUMMYFUNCTION("""COMPUTED_VALUE"""),"M")</f>
        <v>M</v>
      </c>
      <c r="L190" s="103" t="str">
        <f ca="1">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 ca="1">IFERROR(__xludf.DUMMYFUNCTION("""COMPUTED_VALUE"""),7)</f>
        <v>7</v>
      </c>
      <c r="AH190" s="103">
        <f ca="1">IFERROR(__xludf.DUMMYFUNCTION("""COMPUTED_VALUE"""),10)</f>
        <v>10</v>
      </c>
      <c r="AI190" s="103">
        <f ca="1">IFERROR(__xludf.DUMMYFUNCTION("""COMPUTED_VALUE"""),1040)</f>
        <v>1040</v>
      </c>
      <c r="AJ190" s="103" t="str">
        <f ca="1">IFERROR(__xludf.DUMMYFUNCTION("""COMPUTED_VALUE"""),"MORS")</f>
        <v>MORS</v>
      </c>
      <c r="AK190" s="103">
        <f ca="1">IFERROR(__xludf.DUMMYFUNCTION("""COMPUTED_VALUE"""),21)</f>
        <v>21</v>
      </c>
      <c r="AL190" s="103"/>
      <c r="AM190" s="103"/>
      <c r="AN190" s="103"/>
      <c r="AO190" s="57" t="str">
        <f ca="1">IFERROR(__xludf.DUMMYFUNCTION("""COMPUTED_VALUE"""),"U")</f>
        <v>U</v>
      </c>
      <c r="AP190" s="103">
        <f ca="1">IFERROR(__xludf.DUMMYFUNCTION("""COMPUTED_VALUE"""),3)</f>
        <v>3</v>
      </c>
    </row>
    <row r="191" spans="1:42">
      <c r="A191" s="103">
        <f ca="1">IFERROR(__xludf.DUMMYFUNCTION("""COMPUTED_VALUE"""),12)</f>
        <v>12</v>
      </c>
      <c r="B191" s="103" t="str">
        <f ca="1">IFERROR(__xludf.DUMMYFUNCTION("""COMPUTED_VALUE"""),"NDS")</f>
        <v>NDS</v>
      </c>
      <c r="C191" s="103" t="str">
        <f ca="1">IFERROR(__xludf.DUMMYFUNCTION("""COMPUTED_VALUE"""),"U")</f>
        <v>U</v>
      </c>
      <c r="D191" s="103"/>
      <c r="E191" s="103" t="str">
        <f ca="1">IFERROR(__xludf.DUMMYFUNCTION("""COMPUTED_VALUE"""),"Anna's Hummingbird")</f>
        <v>Anna's Hummingbird</v>
      </c>
      <c r="F191" s="103" t="str">
        <f ca="1">IFERROR(__xludf.DUMMYFUNCTION("""COMPUTED_VALUE"""),"ANHU")</f>
        <v>ANHU</v>
      </c>
      <c r="G191" s="103">
        <f ca="1">IFERROR(__xludf.DUMMYFUNCTION("""COMPUTED_VALUE"""),2)</f>
        <v>2</v>
      </c>
      <c r="H191" s="103" t="str">
        <f ca="1">IFERROR(__xludf.DUMMYFUNCTION("""COMPUTED_VALUE"""),"I")</f>
        <v>I</v>
      </c>
      <c r="I191" s="103" t="str">
        <f ca="1">IFERROR(__xludf.DUMMYFUNCTION("""COMPUTED_VALUE"""),"P")</f>
        <v>P</v>
      </c>
      <c r="J191" s="103" t="str">
        <f ca="1">IFERROR(__xludf.DUMMYFUNCTION("""COMPUTED_VALUE"""),"FPF")</f>
        <v>FPF</v>
      </c>
      <c r="K191" s="103" t="str">
        <f ca="1">IFERROR(__xludf.DUMMYFUNCTION("""COMPUTED_VALUE"""),"M")</f>
        <v>M</v>
      </c>
      <c r="L191" s="103" t="str">
        <f ca="1">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 ca="1">IFERROR(__xludf.DUMMYFUNCTION("""COMPUTED_VALUE"""),7)</f>
        <v>7</v>
      </c>
      <c r="AH191" s="103">
        <f ca="1">IFERROR(__xludf.DUMMYFUNCTION("""COMPUTED_VALUE"""),10)</f>
        <v>10</v>
      </c>
      <c r="AI191" s="103">
        <f ca="1">IFERROR(__xludf.DUMMYFUNCTION("""COMPUTED_VALUE"""),1040)</f>
        <v>1040</v>
      </c>
      <c r="AJ191" s="103" t="str">
        <f ca="1">IFERROR(__xludf.DUMMYFUNCTION("""COMPUTED_VALUE"""),"MORS")</f>
        <v>MORS</v>
      </c>
      <c r="AK191" s="103">
        <f ca="1">IFERROR(__xludf.DUMMYFUNCTION("""COMPUTED_VALUE"""),21)</f>
        <v>21</v>
      </c>
      <c r="AL191" s="103"/>
      <c r="AM191" s="103"/>
      <c r="AN191" s="103"/>
      <c r="AO191" s="57" t="str">
        <f ca="1">IFERROR(__xludf.DUMMYFUNCTION("""COMPUTED_VALUE"""),"U")</f>
        <v>U</v>
      </c>
      <c r="AP191" s="103">
        <f ca="1">IFERROR(__xludf.DUMMYFUNCTION("""COMPUTED_VALUE"""),3)</f>
        <v>3</v>
      </c>
    </row>
    <row r="192" spans="1:42">
      <c r="A192" s="103">
        <f ca="1">IFERROR(__xludf.DUMMYFUNCTION("""COMPUTED_VALUE"""),1)</f>
        <v>1</v>
      </c>
      <c r="B192" s="103" t="str">
        <f ca="1">IFERROR(__xludf.DUMMYFUNCTION("""COMPUTED_VALUE"""),"ACC")</f>
        <v>ACC</v>
      </c>
      <c r="C192" s="103" t="str">
        <f ca="1">IFERROR(__xludf.DUMMYFUNCTION("""COMPUTED_VALUE"""),"R")</f>
        <v>R</v>
      </c>
      <c r="D192" s="103">
        <f ca="1">IFERROR(__xludf.DUMMYFUNCTION("""COMPUTED_VALUE"""),283105290)</f>
        <v>283105290</v>
      </c>
      <c r="E192" s="103" t="str">
        <f ca="1">IFERROR(__xludf.DUMMYFUNCTION("""COMPUTED_VALUE"""),"Swainson's Thrush")</f>
        <v>Swainson's Thrush</v>
      </c>
      <c r="F192" s="103" t="str">
        <f ca="1">IFERROR(__xludf.DUMMYFUNCTION("""COMPUTED_VALUE"""),"SWTH")</f>
        <v>SWTH</v>
      </c>
      <c r="G192" s="103">
        <f ca="1">IFERROR(__xludf.DUMMYFUNCTION("""COMPUTED_VALUE"""),1)</f>
        <v>1</v>
      </c>
      <c r="H192" s="103" t="str">
        <f ca="1">IFERROR(__xludf.DUMMYFUNCTION("""COMPUTED_VALUE"""),"B")</f>
        <v>B</v>
      </c>
      <c r="I192" s="103" t="str">
        <f ca="1">IFERROR(__xludf.DUMMYFUNCTION("""COMPUTED_VALUE"""),"P")</f>
        <v>P</v>
      </c>
      <c r="J192" s="103" t="str">
        <f ca="1">IFERROR(__xludf.DUMMYFUNCTION("""COMPUTED_VALUE"""),"FCF")</f>
        <v>FCF</v>
      </c>
      <c r="K192" s="103" t="str">
        <f ca="1">IFERROR(__xludf.DUMMYFUNCTION("""COMPUTED_VALUE"""),"F")</f>
        <v>F</v>
      </c>
      <c r="L192" s="103" t="str">
        <f ca="1">IFERROR(__xludf.DUMMYFUNCTION("""COMPUTED_VALUE"""),"B")</f>
        <v>B</v>
      </c>
      <c r="M192" s="103"/>
      <c r="N192" s="103"/>
      <c r="O192" s="103">
        <f ca="1">IFERROR(__xludf.DUMMYFUNCTION("""COMPUTED_VALUE"""),0)</f>
        <v>0</v>
      </c>
      <c r="P192" s="103">
        <f ca="1">IFERROR(__xludf.DUMMYFUNCTION("""COMPUTED_VALUE"""),3)</f>
        <v>3</v>
      </c>
      <c r="Q192" s="103">
        <f ca="1">IFERROR(__xludf.DUMMYFUNCTION("""COMPUTED_VALUE"""),0)</f>
        <v>0</v>
      </c>
      <c r="R192" s="103">
        <f ca="1">IFERROR(__xludf.DUMMYFUNCTION("""COMPUTED_VALUE"""),0)</f>
        <v>0</v>
      </c>
      <c r="S192" s="103" t="str">
        <f ca="1">IFERROR(__xludf.DUMMYFUNCTION("""COMPUTED_VALUE"""),"N")</f>
        <v>N</v>
      </c>
      <c r="T192" s="103">
        <f ca="1">IFERROR(__xludf.DUMMYFUNCTION("""COMPUTED_VALUE"""),3)</f>
        <v>3</v>
      </c>
      <c r="U192" s="103"/>
      <c r="V192" s="103"/>
      <c r="W192" s="103"/>
      <c r="X192" s="103"/>
      <c r="Y192" s="103"/>
      <c r="Z192" s="103"/>
      <c r="AA192" s="103" t="str">
        <f ca="1">IFERROR(__xludf.DUMMYFUNCTION("""COMPUTED_VALUE"""),"J")</f>
        <v>J</v>
      </c>
      <c r="AB192" s="103"/>
      <c r="AC192" s="103"/>
      <c r="AD192" s="103">
        <f ca="1">IFERROR(__xludf.DUMMYFUNCTION("""COMPUTED_VALUE"""),93)</f>
        <v>93</v>
      </c>
      <c r="AE192" s="103">
        <f ca="1">IFERROR(__xludf.DUMMYFUNCTION("""COMPUTED_VALUE"""),27.5)</f>
        <v>27.5</v>
      </c>
      <c r="AF192" s="103">
        <f ca="1">IFERROR(__xludf.DUMMYFUNCTION("""COMPUTED_VALUE"""),300)</f>
        <v>300</v>
      </c>
      <c r="AG192" s="103">
        <f ca="1">IFERROR(__xludf.DUMMYFUNCTION("""COMPUTED_VALUE"""),7)</f>
        <v>7</v>
      </c>
      <c r="AH192" s="103">
        <f ca="1">IFERROR(__xludf.DUMMYFUNCTION("""COMPUTED_VALUE"""),10)</f>
        <v>10</v>
      </c>
      <c r="AI192" s="103"/>
      <c r="AJ192" s="103" t="str">
        <f ca="1">IFERROR(__xludf.DUMMYFUNCTION("""COMPUTED_VALUE"""),"MORS")</f>
        <v>MORS</v>
      </c>
      <c r="AK192" s="103">
        <f ca="1">IFERROR(__xludf.DUMMYFUNCTION("""COMPUTED_VALUE"""),14)</f>
        <v>14</v>
      </c>
      <c r="AL192" s="103"/>
      <c r="AM192" s="103">
        <f ca="1">IFERROR(__xludf.DUMMYFUNCTION("""COMPUTED_VALUE"""),1)</f>
        <v>1</v>
      </c>
      <c r="AN192" s="103" t="str">
        <f ca="1">IFERROR(__xludf.DUMMYFUNCTION("""COMPUTED_VALUE"""),"P10 is narrow, pointed and 5mm shorter than scovs")</f>
        <v>P10 is narrow, pointed and 5mm shorter than scovs</v>
      </c>
      <c r="AO192" s="57" t="str">
        <f ca="1">IFERROR(__xludf.DUMMYFUNCTION("""COMPUTED_VALUE"""),"R")</f>
        <v>R</v>
      </c>
      <c r="AP192" s="103">
        <f ca="1">IFERROR(__xludf.DUMMYFUNCTION("""COMPUTED_VALUE"""),4)</f>
        <v>4</v>
      </c>
    </row>
    <row r="193" spans="1:42">
      <c r="A193" s="103">
        <f ca="1">IFERROR(__xludf.DUMMYFUNCTION("""COMPUTED_VALUE"""),2)</f>
        <v>2</v>
      </c>
      <c r="B193" s="103" t="str">
        <f ca="1">IFERROR(__xludf.DUMMYFUNCTION("""COMPUTED_VALUE"""),"ACC")</f>
        <v>ACC</v>
      </c>
      <c r="C193" s="103" t="str">
        <f ca="1">IFERROR(__xludf.DUMMYFUNCTION("""COMPUTED_VALUE"""),"N")</f>
        <v>N</v>
      </c>
      <c r="D193" s="103">
        <f ca="1">IFERROR(__xludf.DUMMYFUNCTION("""COMPUTED_VALUE"""),281191241)</f>
        <v>281191241</v>
      </c>
      <c r="E193" s="103" t="str">
        <f ca="1">IFERROR(__xludf.DUMMYFUNCTION("""COMPUTED_VALUE"""),"Bewick's Wren")</f>
        <v>Bewick's Wren</v>
      </c>
      <c r="F193" s="103" t="str">
        <f ca="1">IFERROR(__xludf.DUMMYFUNCTION("""COMPUTED_VALUE"""),"BEWR")</f>
        <v>BEWR</v>
      </c>
      <c r="G193" s="103">
        <f ca="1">IFERROR(__xludf.DUMMYFUNCTION("""COMPUTED_VALUE"""),2)</f>
        <v>2</v>
      </c>
      <c r="H193" s="103" t="str">
        <f ca="1">IFERROR(__xludf.DUMMYFUNCTION("""COMPUTED_VALUE"""),"S")</f>
        <v>S</v>
      </c>
      <c r="I193" s="103"/>
      <c r="J193" s="103" t="str">
        <f ca="1">IFERROR(__xludf.DUMMYFUNCTION("""COMPUTED_VALUE"""),"FCJ")</f>
        <v>FCJ</v>
      </c>
      <c r="K193" s="103" t="str">
        <f ca="1">IFERROR(__xludf.DUMMYFUNCTION("""COMPUTED_VALUE"""),"U")</f>
        <v>U</v>
      </c>
      <c r="L193" s="103"/>
      <c r="M193" s="103"/>
      <c r="N193" s="103"/>
      <c r="O193" s="103"/>
      <c r="P193" s="103"/>
      <c r="Q193" s="103">
        <f ca="1">IFERROR(__xludf.DUMMYFUNCTION("""COMPUTED_VALUE"""),3)</f>
        <v>3</v>
      </c>
      <c r="R193" s="103"/>
      <c r="S193" s="103"/>
      <c r="T193" s="103">
        <f ca="1">IFERROR(__xludf.DUMMYFUNCTION("""COMPUTED_VALUE"""),2)</f>
        <v>2</v>
      </c>
      <c r="U193" s="103"/>
      <c r="V193" s="103"/>
      <c r="W193" s="103"/>
      <c r="X193" s="103"/>
      <c r="Y193" s="103"/>
      <c r="Z193" s="103"/>
      <c r="AA193" s="103" t="str">
        <f ca="1">IFERROR(__xludf.DUMMYFUNCTION("""COMPUTED_VALUE"""),"J")</f>
        <v>J</v>
      </c>
      <c r="AB193" s="103"/>
      <c r="AC193" s="103"/>
      <c r="AD193" s="103">
        <f ca="1">IFERROR(__xludf.DUMMYFUNCTION("""COMPUTED_VALUE"""),49)</f>
        <v>49</v>
      </c>
      <c r="AE193" s="103">
        <f ca="1">IFERROR(__xludf.DUMMYFUNCTION("""COMPUTED_VALUE"""),10.3)</f>
        <v>10.3</v>
      </c>
      <c r="AF193" s="103">
        <f ca="1">IFERROR(__xludf.DUMMYFUNCTION("""COMPUTED_VALUE"""),300)</f>
        <v>300</v>
      </c>
      <c r="AG193" s="103">
        <f ca="1">IFERROR(__xludf.DUMMYFUNCTION("""COMPUTED_VALUE"""),7)</f>
        <v>7</v>
      </c>
      <c r="AH193" s="103">
        <f ca="1">IFERROR(__xludf.DUMMYFUNCTION("""COMPUTED_VALUE"""),10)</f>
        <v>10</v>
      </c>
      <c r="AI193" s="103"/>
      <c r="AJ193" s="103" t="str">
        <f ca="1">IFERROR(__xludf.DUMMYFUNCTION("""COMPUTED_VALUE"""),"MORS")</f>
        <v>MORS</v>
      </c>
      <c r="AK193" s="103">
        <f ca="1">IFERROR(__xludf.DUMMYFUNCTION("""COMPUTED_VALUE"""),6)</f>
        <v>6</v>
      </c>
      <c r="AL193" s="103"/>
      <c r="AM193" s="103">
        <f ca="1">IFERROR(__xludf.DUMMYFUNCTION("""COMPUTED_VALUE"""),2)</f>
        <v>2</v>
      </c>
      <c r="AN193" s="103" t="str">
        <f ca="1">IFERROR(__xludf.DUMMYFUNCTION("""COMPUTED_VALUE"""),"Rects still growing. R1&amp;2 missing")</f>
        <v>Rects still growing. R1&amp;2 missing</v>
      </c>
      <c r="AO193" s="57">
        <f ca="1">IFERROR(__xludf.DUMMYFUNCTION("""COMPUTED_VALUE"""),1)</f>
        <v>1</v>
      </c>
      <c r="AP193" s="103">
        <f ca="1">IFERROR(__xludf.DUMMYFUNCTION("""COMPUTED_VALUE"""),4)</f>
        <v>4</v>
      </c>
    </row>
    <row r="194" spans="1:42">
      <c r="A194" s="103">
        <f ca="1">IFERROR(__xludf.DUMMYFUNCTION("""COMPUTED_VALUE"""),3)</f>
        <v>3</v>
      </c>
      <c r="B194" s="103" t="str">
        <f ca="1">IFERROR(__xludf.DUMMYFUNCTION("""COMPUTED_VALUE"""),"ACC")</f>
        <v>ACC</v>
      </c>
      <c r="C194" s="103" t="str">
        <f ca="1">IFERROR(__xludf.DUMMYFUNCTION("""COMPUTED_VALUE"""),"N")</f>
        <v>N</v>
      </c>
      <c r="D194" s="103">
        <f ca="1">IFERROR(__xludf.DUMMYFUNCTION("""COMPUTED_VALUE"""),135291876)</f>
        <v>135291876</v>
      </c>
      <c r="E194" s="103" t="str">
        <f ca="1">IFERROR(__xludf.DUMMYFUNCTION("""COMPUTED_VALUE"""),"American Robin")</f>
        <v>American Robin</v>
      </c>
      <c r="F194" s="103" t="str">
        <f ca="1">IFERROR(__xludf.DUMMYFUNCTION("""COMPUTED_VALUE"""),"AMRO")</f>
        <v>AMRO</v>
      </c>
      <c r="G194" s="103">
        <f ca="1">IFERROR(__xludf.DUMMYFUNCTION("""COMPUTED_VALUE"""),2)</f>
        <v>2</v>
      </c>
      <c r="H194" s="103" t="str">
        <f ca="1">IFERROR(__xludf.DUMMYFUNCTION("""COMPUTED_VALUE"""),"P")</f>
        <v>P</v>
      </c>
      <c r="I194" s="103"/>
      <c r="J194" s="103" t="str">
        <f ca="1">IFERROR(__xludf.DUMMYFUNCTION("""COMPUTED_VALUE"""),"FCJ")</f>
        <v>FCJ</v>
      </c>
      <c r="K194" s="103" t="str">
        <f ca="1">IFERROR(__xludf.DUMMYFUNCTION("""COMPUTED_VALUE"""),"U")</f>
        <v>U</v>
      </c>
      <c r="L194" s="103"/>
      <c r="M194" s="103"/>
      <c r="N194" s="103"/>
      <c r="O194" s="103">
        <f ca="1">IFERROR(__xludf.DUMMYFUNCTION("""COMPUTED_VALUE"""),0)</f>
        <v>0</v>
      </c>
      <c r="P194" s="103">
        <f ca="1">IFERROR(__xludf.DUMMYFUNCTION("""COMPUTED_VALUE"""),0)</f>
        <v>0</v>
      </c>
      <c r="Q194" s="103">
        <f ca="1">IFERROR(__xludf.DUMMYFUNCTION("""COMPUTED_VALUE"""),1)</f>
        <v>1</v>
      </c>
      <c r="R194" s="103">
        <f ca="1">IFERROR(__xludf.DUMMYFUNCTION("""COMPUTED_VALUE"""),0)</f>
        <v>0</v>
      </c>
      <c r="S194" s="103" t="str">
        <f ca="1">IFERROR(__xludf.DUMMYFUNCTION("""COMPUTED_VALUE"""),"N")</f>
        <v>N</v>
      </c>
      <c r="T194" s="103">
        <f ca="1">IFERROR(__xludf.DUMMYFUNCTION("""COMPUTED_VALUE"""),3)</f>
        <v>3</v>
      </c>
      <c r="U194" s="103"/>
      <c r="V194" s="103"/>
      <c r="W194" s="103"/>
      <c r="X194" s="103"/>
      <c r="Y194" s="103"/>
      <c r="Z194" s="103"/>
      <c r="AA194" s="103" t="str">
        <f ca="1">IFERROR(__xludf.DUMMYFUNCTION("""COMPUTED_VALUE"""),"J")</f>
        <v>J</v>
      </c>
      <c r="AB194" s="103"/>
      <c r="AC194" s="103"/>
      <c r="AD194" s="103">
        <f ca="1">IFERROR(__xludf.DUMMYFUNCTION("""COMPUTED_VALUE"""),124)</f>
        <v>124</v>
      </c>
      <c r="AE194" s="103">
        <f ca="1">IFERROR(__xludf.DUMMYFUNCTION("""COMPUTED_VALUE"""),77.3)</f>
        <v>77.3</v>
      </c>
      <c r="AF194" s="103">
        <f ca="1">IFERROR(__xludf.DUMMYFUNCTION("""COMPUTED_VALUE"""),300)</f>
        <v>300</v>
      </c>
      <c r="AG194" s="103">
        <f ca="1">IFERROR(__xludf.DUMMYFUNCTION("""COMPUTED_VALUE"""),7)</f>
        <v>7</v>
      </c>
      <c r="AH194" s="103">
        <f ca="1">IFERROR(__xludf.DUMMYFUNCTION("""COMPUTED_VALUE"""),10)</f>
        <v>10</v>
      </c>
      <c r="AI194" s="103"/>
      <c r="AJ194" s="103" t="str">
        <f ca="1">IFERROR(__xludf.DUMMYFUNCTION("""COMPUTED_VALUE"""),"MORS")</f>
        <v>MORS</v>
      </c>
      <c r="AK194" s="103">
        <f ca="1">IFERROR(__xludf.DUMMYFUNCTION("""COMPUTED_VALUE"""),15)</f>
        <v>15</v>
      </c>
      <c r="AL194" s="103"/>
      <c r="AM194" s="103"/>
      <c r="AN194" s="103"/>
      <c r="AO194" s="57">
        <f ca="1">IFERROR(__xludf.DUMMYFUNCTION("""COMPUTED_VALUE"""),2)</f>
        <v>2</v>
      </c>
      <c r="AP194" s="103">
        <f ca="1">IFERROR(__xludf.DUMMYFUNCTION("""COMPUTED_VALUE"""),4)</f>
        <v>4</v>
      </c>
    </row>
    <row r="195" spans="1:42">
      <c r="A195" s="103">
        <f ca="1">IFERROR(__xludf.DUMMYFUNCTION("""COMPUTED_VALUE"""),4)</f>
        <v>4</v>
      </c>
      <c r="B195" s="103" t="str">
        <f ca="1">IFERROR(__xludf.DUMMYFUNCTION("""COMPUTED_VALUE"""),"ACC")</f>
        <v>ACC</v>
      </c>
      <c r="C195" s="103" t="str">
        <f ca="1">IFERROR(__xludf.DUMMYFUNCTION("""COMPUTED_VALUE"""),"N")</f>
        <v>N</v>
      </c>
      <c r="D195" s="103">
        <f ca="1">IFERROR(__xludf.DUMMYFUNCTION("""COMPUTED_VALUE"""),135291877)</f>
        <v>135291877</v>
      </c>
      <c r="E195" s="103" t="str">
        <f ca="1">IFERROR(__xludf.DUMMYFUNCTION("""COMPUTED_VALUE"""),"Spotted Towhee")</f>
        <v>Spotted Towhee</v>
      </c>
      <c r="F195" s="103" t="str">
        <f ca="1">IFERROR(__xludf.DUMMYFUNCTION("""COMPUTED_VALUE"""),"SPTO")</f>
        <v>SPTO</v>
      </c>
      <c r="G195" s="103">
        <f ca="1">IFERROR(__xludf.DUMMYFUNCTION("""COMPUTED_VALUE"""),2)</f>
        <v>2</v>
      </c>
      <c r="H195" s="103" t="str">
        <f ca="1">IFERROR(__xludf.DUMMYFUNCTION("""COMPUTED_VALUE"""),"P")</f>
        <v>P</v>
      </c>
      <c r="I195" s="103"/>
      <c r="J195" s="103" t="str">
        <f ca="1">IFERROR(__xludf.DUMMYFUNCTION("""COMPUTED_VALUE"""),"FCJ")</f>
        <v>FCJ</v>
      </c>
      <c r="K195" s="103" t="str">
        <f ca="1">IFERROR(__xludf.DUMMYFUNCTION("""COMPUTED_VALUE"""),"U")</f>
        <v>U</v>
      </c>
      <c r="L195" s="103"/>
      <c r="M195" s="103"/>
      <c r="N195" s="103"/>
      <c r="O195" s="103">
        <f ca="1">IFERROR(__xludf.DUMMYFUNCTION("""COMPUTED_VALUE"""),0)</f>
        <v>0</v>
      </c>
      <c r="P195" s="103">
        <f ca="1">IFERROR(__xludf.DUMMYFUNCTION("""COMPUTED_VALUE"""),0)</f>
        <v>0</v>
      </c>
      <c r="Q195" s="103">
        <f ca="1">IFERROR(__xludf.DUMMYFUNCTION("""COMPUTED_VALUE"""),1)</f>
        <v>1</v>
      </c>
      <c r="R195" s="103"/>
      <c r="S195" s="103" t="str">
        <f ca="1">IFERROR(__xludf.DUMMYFUNCTION("""COMPUTED_VALUE"""),"J")</f>
        <v>J</v>
      </c>
      <c r="T195" s="103">
        <f ca="1">IFERROR(__xludf.DUMMYFUNCTION("""COMPUTED_VALUE"""),1)</f>
        <v>1</v>
      </c>
      <c r="U195" s="103">
        <f ca="1">IFERROR(__xludf.DUMMYFUNCTION("""COMPUTED_VALUE"""),3)</f>
        <v>3</v>
      </c>
      <c r="V195" s="103"/>
      <c r="W195" s="103"/>
      <c r="X195" s="103" t="str">
        <f ca="1">IFERROR(__xludf.DUMMYFUNCTION("""COMPUTED_VALUE"""),"J")</f>
        <v>J</v>
      </c>
      <c r="Y195" s="103" t="str">
        <f ca="1">IFERROR(__xludf.DUMMYFUNCTION("""COMPUTED_VALUE"""),"J")</f>
        <v>J</v>
      </c>
      <c r="Z195" s="103"/>
      <c r="AA195" s="103" t="str">
        <f ca="1">IFERROR(__xludf.DUMMYFUNCTION("""COMPUTED_VALUE"""),"J")</f>
        <v>J</v>
      </c>
      <c r="AB195" s="103"/>
      <c r="AC195" s="103"/>
      <c r="AD195" s="103">
        <f ca="1">IFERROR(__xludf.DUMMYFUNCTION("""COMPUTED_VALUE"""),78)</f>
        <v>78</v>
      </c>
      <c r="AE195" s="103">
        <f ca="1">IFERROR(__xludf.DUMMYFUNCTION("""COMPUTED_VALUE"""),37.4)</f>
        <v>37.4</v>
      </c>
      <c r="AF195" s="103">
        <f ca="1">IFERROR(__xludf.DUMMYFUNCTION("""COMPUTED_VALUE"""),300)</f>
        <v>300</v>
      </c>
      <c r="AG195" s="103">
        <f ca="1">IFERROR(__xludf.DUMMYFUNCTION("""COMPUTED_VALUE"""),7)</f>
        <v>7</v>
      </c>
      <c r="AH195" s="103">
        <f ca="1">IFERROR(__xludf.DUMMYFUNCTION("""COMPUTED_VALUE"""),10)</f>
        <v>10</v>
      </c>
      <c r="AI195" s="103"/>
      <c r="AJ195" s="103" t="str">
        <f ca="1">IFERROR(__xludf.DUMMYFUNCTION("""COMPUTED_VALUE"""),"MORS")</f>
        <v>MORS</v>
      </c>
      <c r="AK195" s="103">
        <f ca="1">IFERROR(__xludf.DUMMYFUNCTION("""COMPUTED_VALUE"""),9)</f>
        <v>9</v>
      </c>
      <c r="AL195" s="103"/>
      <c r="AM195" s="103">
        <f ca="1">IFERROR(__xludf.DUMMYFUNCTION("""COMPUTED_VALUE"""),3)</f>
        <v>3</v>
      </c>
      <c r="AN195" s="103" t="str">
        <f ca="1">IFERROR(__xludf.DUMMYFUNCTION("""COMPUTED_VALUE"""),"One secondary still growing in on right wing")</f>
        <v>One secondary still growing in on right wing</v>
      </c>
      <c r="AO195" s="57">
        <f ca="1">IFERROR(__xludf.DUMMYFUNCTION("""COMPUTED_VALUE"""),2)</f>
        <v>2</v>
      </c>
      <c r="AP195" s="103">
        <f ca="1">IFERROR(__xludf.DUMMYFUNCTION("""COMPUTED_VALUE"""),4)</f>
        <v>4</v>
      </c>
    </row>
    <row r="196" spans="1:42">
      <c r="A196" s="103">
        <f ca="1">IFERROR(__xludf.DUMMYFUNCTION("""COMPUTED_VALUE"""),5)</f>
        <v>5</v>
      </c>
      <c r="B196" s="103" t="str">
        <f ca="1">IFERROR(__xludf.DUMMYFUNCTION("""COMPUTED_VALUE"""),"ACC")</f>
        <v>ACC</v>
      </c>
      <c r="C196" s="103" t="str">
        <f ca="1">IFERROR(__xludf.DUMMYFUNCTION("""COMPUTED_VALUE"""),"N")</f>
        <v>N</v>
      </c>
      <c r="D196" s="103">
        <f ca="1">IFERROR(__xludf.DUMMYFUNCTION("""COMPUTED_VALUE"""),172176248)</f>
        <v>172176248</v>
      </c>
      <c r="E196" s="103" t="str">
        <f ca="1">IFERROR(__xludf.DUMMYFUNCTION("""COMPUTED_VALUE"""),"Song Sparrow")</f>
        <v>Song Sparrow</v>
      </c>
      <c r="F196" s="103" t="str">
        <f ca="1">IFERROR(__xludf.DUMMYFUNCTION("""COMPUTED_VALUE"""),"SOSP")</f>
        <v>SOSP</v>
      </c>
      <c r="G196" s="103">
        <f ca="1">IFERROR(__xludf.DUMMYFUNCTION("""COMPUTED_VALUE"""),1)</f>
        <v>1</v>
      </c>
      <c r="H196" s="103" t="str">
        <f ca="1">IFERROR(__xludf.DUMMYFUNCTION("""COMPUTED_VALUE"""),"C")</f>
        <v>C</v>
      </c>
      <c r="I196" s="103"/>
      <c r="J196" s="103" t="str">
        <f ca="1">IFERROR(__xludf.DUMMYFUNCTION("""COMPUTED_VALUE"""),"FCJ")</f>
        <v>FCJ</v>
      </c>
      <c r="K196" s="103"/>
      <c r="L196" s="103"/>
      <c r="M196" s="103"/>
      <c r="N196" s="103"/>
      <c r="O196" s="103">
        <f ca="1">IFERROR(__xludf.DUMMYFUNCTION("""COMPUTED_VALUE"""),3)</f>
        <v>3</v>
      </c>
      <c r="P196" s="103">
        <f ca="1">IFERROR(__xludf.DUMMYFUNCTION("""COMPUTED_VALUE"""),0)</f>
        <v>0</v>
      </c>
      <c r="Q196" s="103">
        <f ca="1">IFERROR(__xludf.DUMMYFUNCTION("""COMPUTED_VALUE"""),3)</f>
        <v>3</v>
      </c>
      <c r="R196" s="103">
        <f ca="1">IFERROR(__xludf.DUMMYFUNCTION("""COMPUTED_VALUE"""),0)</f>
        <v>0</v>
      </c>
      <c r="S196" s="103" t="str">
        <f ca="1">IFERROR(__xludf.DUMMYFUNCTION("""COMPUTED_VALUE"""),"N")</f>
        <v>N</v>
      </c>
      <c r="T196" s="103">
        <f ca="1">IFERROR(__xludf.DUMMYFUNCTION("""COMPUTED_VALUE"""),3)</f>
        <v>3</v>
      </c>
      <c r="U196" s="103"/>
      <c r="V196" s="103"/>
      <c r="W196" s="103"/>
      <c r="X196" s="103"/>
      <c r="Y196" s="103"/>
      <c r="Z196" s="103"/>
      <c r="AA196" s="103" t="str">
        <f ca="1">IFERROR(__xludf.DUMMYFUNCTION("""COMPUTED_VALUE"""),"J")</f>
        <v>J</v>
      </c>
      <c r="AB196" s="103"/>
      <c r="AC196" s="103"/>
      <c r="AD196" s="103">
        <f ca="1">IFERROR(__xludf.DUMMYFUNCTION("""COMPUTED_VALUE"""),69)</f>
        <v>69</v>
      </c>
      <c r="AE196" s="103">
        <f ca="1">IFERROR(__xludf.DUMMYFUNCTION("""COMPUTED_VALUE"""),25.5)</f>
        <v>25.5</v>
      </c>
      <c r="AF196" s="103">
        <f ca="1">IFERROR(__xludf.DUMMYFUNCTION("""COMPUTED_VALUE"""),300)</f>
        <v>300</v>
      </c>
      <c r="AG196" s="103">
        <f ca="1">IFERROR(__xludf.DUMMYFUNCTION("""COMPUTED_VALUE"""),7)</f>
        <v>7</v>
      </c>
      <c r="AH196" s="103">
        <f ca="1">IFERROR(__xludf.DUMMYFUNCTION("""COMPUTED_VALUE"""),10)</f>
        <v>10</v>
      </c>
      <c r="AI196" s="103"/>
      <c r="AJ196" s="103" t="str">
        <f ca="1">IFERROR(__xludf.DUMMYFUNCTION("""COMPUTED_VALUE"""),"MORS")</f>
        <v>MORS</v>
      </c>
      <c r="AK196" s="103">
        <f ca="1">IFERROR(__xludf.DUMMYFUNCTION("""COMPUTED_VALUE"""),21)</f>
        <v>21</v>
      </c>
      <c r="AL196" s="103"/>
      <c r="AM196" s="103"/>
      <c r="AN196" s="103"/>
      <c r="AO196" s="57" t="str">
        <f ca="1">IFERROR(__xludf.DUMMYFUNCTION("""COMPUTED_VALUE"""),"1B")</f>
        <v>1B</v>
      </c>
      <c r="AP196" s="103">
        <f ca="1">IFERROR(__xludf.DUMMYFUNCTION("""COMPUTED_VALUE"""),4)</f>
        <v>4</v>
      </c>
    </row>
    <row r="197" spans="1:42">
      <c r="A197" s="103">
        <f ca="1">IFERROR(__xludf.DUMMYFUNCTION("""COMPUTED_VALUE"""),6)</f>
        <v>6</v>
      </c>
      <c r="B197" s="103" t="str">
        <f ca="1">IFERROR(__xludf.DUMMYFUNCTION("""COMPUTED_VALUE"""),"ACC")</f>
        <v>ACC</v>
      </c>
      <c r="C197" s="103" t="str">
        <f ca="1">IFERROR(__xludf.DUMMYFUNCTION("""COMPUTED_VALUE"""),"R")</f>
        <v>R</v>
      </c>
      <c r="D197" s="103">
        <f ca="1">IFERROR(__xludf.DUMMYFUNCTION("""COMPUTED_VALUE"""),221115696)</f>
        <v>221115696</v>
      </c>
      <c r="E197" s="103" t="str">
        <f ca="1">IFERROR(__xludf.DUMMYFUNCTION("""COMPUTED_VALUE"""),"Spotted Towhee")</f>
        <v>Spotted Towhee</v>
      </c>
      <c r="F197" s="103" t="str">
        <f ca="1">IFERROR(__xludf.DUMMYFUNCTION("""COMPUTED_VALUE"""),"SPTO")</f>
        <v>SPTO</v>
      </c>
      <c r="G197" s="103">
        <f ca="1">IFERROR(__xludf.DUMMYFUNCTION("""COMPUTED_VALUE"""),1)</f>
        <v>1</v>
      </c>
      <c r="H197" s="103" t="str">
        <f ca="1">IFERROR(__xludf.DUMMYFUNCTION("""COMPUTED_VALUE"""),"B")</f>
        <v>B</v>
      </c>
      <c r="I197" s="103"/>
      <c r="J197" s="103"/>
      <c r="K197" s="103" t="str">
        <f ca="1">IFERROR(__xludf.DUMMYFUNCTION("""COMPUTED_VALUE"""),"F")</f>
        <v>F</v>
      </c>
      <c r="L197" s="103" t="str">
        <f ca="1">IFERROR(__xludf.DUMMYFUNCTION("""COMPUTED_VALUE"""),"B")</f>
        <v>B</v>
      </c>
      <c r="M197" s="103"/>
      <c r="N197" s="103"/>
      <c r="O197" s="103">
        <f ca="1">IFERROR(__xludf.DUMMYFUNCTION("""COMPUTED_VALUE"""),0)</f>
        <v>0</v>
      </c>
      <c r="P197" s="103">
        <f ca="1">IFERROR(__xludf.DUMMYFUNCTION("""COMPUTED_VALUE"""),4)</f>
        <v>4</v>
      </c>
      <c r="Q197" s="103">
        <f ca="1">IFERROR(__xludf.DUMMYFUNCTION("""COMPUTED_VALUE"""),3)</f>
        <v>3</v>
      </c>
      <c r="R197" s="103">
        <f ca="1">IFERROR(__xludf.DUMMYFUNCTION("""COMPUTED_VALUE"""),0)</f>
        <v>0</v>
      </c>
      <c r="S197" s="103" t="str">
        <f ca="1">IFERROR(__xludf.DUMMYFUNCTION("""COMPUTED_VALUE"""),"N")</f>
        <v>N</v>
      </c>
      <c r="T197" s="103">
        <f ca="1">IFERROR(__xludf.DUMMYFUNCTION("""COMPUTED_VALUE"""),2)</f>
        <v>2</v>
      </c>
      <c r="U197" s="103"/>
      <c r="V197" s="103"/>
      <c r="W197" s="103"/>
      <c r="X197" s="103"/>
      <c r="Y197" s="103"/>
      <c r="Z197" s="103"/>
      <c r="AA197" s="103"/>
      <c r="AB197" s="103"/>
      <c r="AC197" s="103"/>
      <c r="AD197" s="103">
        <f ca="1">IFERROR(__xludf.DUMMYFUNCTION("""COMPUTED_VALUE"""),79)</f>
        <v>79</v>
      </c>
      <c r="AE197" s="103">
        <f ca="1">IFERROR(__xludf.DUMMYFUNCTION("""COMPUTED_VALUE"""),40.2)</f>
        <v>40.200000000000003</v>
      </c>
      <c r="AF197" s="103">
        <f ca="1">IFERROR(__xludf.DUMMYFUNCTION("""COMPUTED_VALUE"""),300)</f>
        <v>300</v>
      </c>
      <c r="AG197" s="103">
        <f ca="1">IFERROR(__xludf.DUMMYFUNCTION("""COMPUTED_VALUE"""),7)</f>
        <v>7</v>
      </c>
      <c r="AH197" s="103">
        <f ca="1">IFERROR(__xludf.DUMMYFUNCTION("""COMPUTED_VALUE"""),10)</f>
        <v>10</v>
      </c>
      <c r="AI197" s="103"/>
      <c r="AJ197" s="103" t="str">
        <f ca="1">IFERROR(__xludf.DUMMYFUNCTION("""COMPUTED_VALUE"""),"MORS")</f>
        <v>MORS</v>
      </c>
      <c r="AK197" s="103">
        <f ca="1">IFERROR(__xludf.DUMMYFUNCTION("""COMPUTED_VALUE"""),2)</f>
        <v>2</v>
      </c>
      <c r="AL197" s="103"/>
      <c r="AM197" s="103">
        <f ca="1">IFERROR(__xludf.DUMMYFUNCTION("""COMPUTED_VALUE"""),4)</f>
        <v>4</v>
      </c>
      <c r="AN197" s="103" t="str">
        <f ca="1">IFERROR(__xludf.DUMMYFUNCTION("""COMPUTED_VALUE"""),"Rects missing and trashed. Eye orange-red")</f>
        <v>Rects missing and trashed. Eye orange-red</v>
      </c>
      <c r="AO197" s="57" t="str">
        <f ca="1">IFERROR(__xludf.DUMMYFUNCTION("""COMPUTED_VALUE"""),"R")</f>
        <v>R</v>
      </c>
      <c r="AP197" s="103">
        <f ca="1">IFERROR(__xludf.DUMMYFUNCTION("""COMPUTED_VALUE"""),4)</f>
        <v>4</v>
      </c>
    </row>
    <row r="198" spans="1:42">
      <c r="A198" s="103">
        <f ca="1">IFERROR(__xludf.DUMMYFUNCTION("""COMPUTED_VALUE"""),7)</f>
        <v>7</v>
      </c>
      <c r="B198" s="103" t="str">
        <f ca="1">IFERROR(__xludf.DUMMYFUNCTION("""COMPUTED_VALUE"""),"ACC")</f>
        <v>ACC</v>
      </c>
      <c r="C198" s="103" t="str">
        <f ca="1">IFERROR(__xludf.DUMMYFUNCTION("""COMPUTED_VALUE"""),"R")</f>
        <v>R</v>
      </c>
      <c r="D198" s="103">
        <f ca="1">IFERROR(__xludf.DUMMYFUNCTION("""COMPUTED_VALUE"""),283105290)</f>
        <v>283105290</v>
      </c>
      <c r="E198" s="103" t="str">
        <f ca="1">IFERROR(__xludf.DUMMYFUNCTION("""COMPUTED_VALUE"""),"Swainson's Thrush")</f>
        <v>Swainson's Thrush</v>
      </c>
      <c r="F198" s="103" t="str">
        <f ca="1">IFERROR(__xludf.DUMMYFUNCTION("""COMPUTED_VALUE"""),"SWTH")</f>
        <v>SWTH</v>
      </c>
      <c r="G198" s="103">
        <f ca="1">IFERROR(__xludf.DUMMYFUNCTION("""COMPUTED_VALUE"""),9)</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 ca="1">IFERROR(__xludf.DUMMYFUNCTION("""COMPUTED_VALUE"""),300)</f>
        <v>300</v>
      </c>
      <c r="AG198" s="103">
        <f ca="1">IFERROR(__xludf.DUMMYFUNCTION("""COMPUTED_VALUE"""),7)</f>
        <v>7</v>
      </c>
      <c r="AH198" s="103">
        <f ca="1">IFERROR(__xludf.DUMMYFUNCTION("""COMPUTED_VALUE"""),10)</f>
        <v>10</v>
      </c>
      <c r="AI198" s="103"/>
      <c r="AJ198" s="103" t="str">
        <f ca="1">IFERROR(__xludf.DUMMYFUNCTION("""COMPUTED_VALUE"""),"MORS")</f>
        <v>MORS</v>
      </c>
      <c r="AK198" s="103">
        <f ca="1">IFERROR(__xludf.DUMMYFUNCTION("""COMPUTED_VALUE"""),21)</f>
        <v>21</v>
      </c>
      <c r="AL198" s="103"/>
      <c r="AM198" s="103">
        <f ca="1">IFERROR(__xludf.DUMMYFUNCTION("""COMPUTED_VALUE"""),5)</f>
        <v>5</v>
      </c>
      <c r="AN198" s="103" t="str">
        <f ca="1">IFERROR(__xludf.DUMMYFUNCTION("""COMPUTED_VALUE"""),"Same day recap")</f>
        <v>Same day recap</v>
      </c>
      <c r="AO198" s="57" t="str">
        <f ca="1">IFERROR(__xludf.DUMMYFUNCTION("""COMPUTED_VALUE"""),"R")</f>
        <v>R</v>
      </c>
      <c r="AP198" s="103">
        <f ca="1">IFERROR(__xludf.DUMMYFUNCTION("""COMPUTED_VALUE"""),4)</f>
        <v>4</v>
      </c>
    </row>
    <row r="199" spans="1:42">
      <c r="A199" s="103">
        <f ca="1">IFERROR(__xludf.DUMMYFUNCTION("""COMPUTED_VALUE"""),8)</f>
        <v>8</v>
      </c>
      <c r="B199" s="103" t="str">
        <f ca="1">IFERROR(__xludf.DUMMYFUNCTION("""COMPUTED_VALUE"""),"NDS")</f>
        <v>NDS</v>
      </c>
      <c r="C199" s="103" t="str">
        <f ca="1">IFERROR(__xludf.DUMMYFUNCTION("""COMPUTED_VALUE"""),"N")</f>
        <v>N</v>
      </c>
      <c r="D199" s="103">
        <f ca="1">IFERROR(__xludf.DUMMYFUNCTION("""COMPUTED_VALUE"""),230196614)</f>
        <v>230196614</v>
      </c>
      <c r="E199" s="103" t="str">
        <f ca="1">IFERROR(__xludf.DUMMYFUNCTION("""COMPUTED_VALUE"""),"Black-headed Grosbeak")</f>
        <v>Black-headed Grosbeak</v>
      </c>
      <c r="F199" s="103" t="str">
        <f ca="1">IFERROR(__xludf.DUMMYFUNCTION("""COMPUTED_VALUE"""),"BHGR")</f>
        <v>BHGR</v>
      </c>
      <c r="G199" s="103">
        <f ca="1">IFERROR(__xludf.DUMMYFUNCTION("""COMPUTED_VALUE"""),6)</f>
        <v>6</v>
      </c>
      <c r="H199" s="103" t="str">
        <f ca="1">IFERROR(__xludf.DUMMYFUNCTION("""COMPUTED_VALUE"""),"P")</f>
        <v>P</v>
      </c>
      <c r="I199" s="103" t="str">
        <f ca="1">IFERROR(__xludf.DUMMYFUNCTION("""COMPUTED_VALUE"""),"L")</f>
        <v>L</v>
      </c>
      <c r="J199" s="103" t="str">
        <f ca="1">IFERROR(__xludf.DUMMYFUNCTION("""COMPUTED_VALUE"""),"DCB")</f>
        <v>DCB</v>
      </c>
      <c r="K199" s="103" t="str">
        <f ca="1">IFERROR(__xludf.DUMMYFUNCTION("""COMPUTED_VALUE"""),"F")</f>
        <v>F</v>
      </c>
      <c r="L199" s="103"/>
      <c r="M199" s="103"/>
      <c r="N199" s="103"/>
      <c r="O199" s="103">
        <f ca="1">IFERROR(__xludf.DUMMYFUNCTION("""COMPUTED_VALUE"""),0)</f>
        <v>0</v>
      </c>
      <c r="P199" s="103">
        <f ca="1">IFERROR(__xludf.DUMMYFUNCTION("""COMPUTED_VALUE"""),3)</f>
        <v>3</v>
      </c>
      <c r="Q199" s="103">
        <f ca="1">IFERROR(__xludf.DUMMYFUNCTION("""COMPUTED_VALUE"""),2)</f>
        <v>2</v>
      </c>
      <c r="R199" s="103">
        <f ca="1">IFERROR(__xludf.DUMMYFUNCTION("""COMPUTED_VALUE"""),0)</f>
        <v>0</v>
      </c>
      <c r="S199" s="103" t="str">
        <f ca="1">IFERROR(__xludf.DUMMYFUNCTION("""COMPUTED_VALUE"""),"N")</f>
        <v>N</v>
      </c>
      <c r="T199" s="103">
        <f ca="1">IFERROR(__xludf.DUMMYFUNCTION("""COMPUTED_VALUE"""),2)</f>
        <v>2</v>
      </c>
      <c r="U199" s="103"/>
      <c r="V199" s="103" t="str">
        <f ca="1">IFERROR(__xludf.DUMMYFUNCTION("""COMPUTED_VALUE"""),"B")</f>
        <v>B</v>
      </c>
      <c r="W199" s="103" t="str">
        <f ca="1">IFERROR(__xludf.DUMMYFUNCTION("""COMPUTED_VALUE"""),"B")</f>
        <v>B</v>
      </c>
      <c r="X199" s="103" t="str">
        <f ca="1">IFERROR(__xludf.DUMMYFUNCTION("""COMPUTED_VALUE"""),"M")</f>
        <v>M</v>
      </c>
      <c r="Y199" s="103"/>
      <c r="Z199" s="103" t="str">
        <f ca="1">IFERROR(__xludf.DUMMYFUNCTION("""COMPUTED_VALUE"""),"R")</f>
        <v>R</v>
      </c>
      <c r="AA199" s="103" t="str">
        <f ca="1">IFERROR(__xludf.DUMMYFUNCTION("""COMPUTED_VALUE"""),"R")</f>
        <v>R</v>
      </c>
      <c r="AB199" s="103"/>
      <c r="AC199" s="103"/>
      <c r="AD199" s="103">
        <f ca="1">IFERROR(__xludf.DUMMYFUNCTION("""COMPUTED_VALUE"""),100)</f>
        <v>100</v>
      </c>
      <c r="AE199" s="103">
        <f ca="1">IFERROR(__xludf.DUMMYFUNCTION("""COMPUTED_VALUE"""),50.7)</f>
        <v>50.7</v>
      </c>
      <c r="AF199" s="103">
        <f ca="1">IFERROR(__xludf.DUMMYFUNCTION("""COMPUTED_VALUE"""),300)</f>
        <v>300</v>
      </c>
      <c r="AG199" s="103">
        <f ca="1">IFERROR(__xludf.DUMMYFUNCTION("""COMPUTED_VALUE"""),7)</f>
        <v>7</v>
      </c>
      <c r="AH199" s="103">
        <f ca="1">IFERROR(__xludf.DUMMYFUNCTION("""COMPUTED_VALUE"""),10)</f>
        <v>10</v>
      </c>
      <c r="AI199" s="103"/>
      <c r="AJ199" s="103" t="str">
        <f ca="1">IFERROR(__xludf.DUMMYFUNCTION("""COMPUTED_VALUE"""),"MORS")</f>
        <v>MORS</v>
      </c>
      <c r="AK199" s="103">
        <f ca="1">IFERROR(__xludf.DUMMYFUNCTION("""COMPUTED_VALUE"""),9)</f>
        <v>9</v>
      </c>
      <c r="AL199" s="103"/>
      <c r="AM199" s="103"/>
      <c r="AN199" s="103"/>
      <c r="AO199" s="57" t="str">
        <f ca="1">IFERROR(__xludf.DUMMYFUNCTION("""COMPUTED_VALUE"""),"1A")</f>
        <v>1A</v>
      </c>
      <c r="AP199" s="103">
        <f ca="1">IFERROR(__xludf.DUMMYFUNCTION("""COMPUTED_VALUE"""),4)</f>
        <v>4</v>
      </c>
    </row>
    <row r="200" spans="1:42">
      <c r="A200" s="103">
        <f ca="1">IFERROR(__xludf.DUMMYFUNCTION("""COMPUTED_VALUE"""),1)</f>
        <v>1</v>
      </c>
      <c r="B200" s="103" t="str">
        <f ca="1">IFERROR(__xludf.DUMMYFUNCTION("""COMPUTED_VALUE"""),"JHT")</f>
        <v>JHT</v>
      </c>
      <c r="C200" s="103" t="str">
        <f ca="1">IFERROR(__xludf.DUMMYFUNCTION("""COMPUTED_VALUE"""),"N")</f>
        <v>N</v>
      </c>
      <c r="D200" s="103">
        <f ca="1">IFERROR(__xludf.DUMMYFUNCTION("""COMPUTED_VALUE"""),172176253)</f>
        <v>172176253</v>
      </c>
      <c r="E200" s="103" t="str">
        <f ca="1">IFERROR(__xludf.DUMMYFUNCTION("""COMPUTED_VALUE"""),"Song Sparrow")</f>
        <v>Song Sparrow</v>
      </c>
      <c r="F200" s="103" t="str">
        <f ca="1">IFERROR(__xludf.DUMMYFUNCTION("""COMPUTED_VALUE"""),"SOSP")</f>
        <v>SOSP</v>
      </c>
      <c r="G200" s="103">
        <f ca="1">IFERROR(__xludf.DUMMYFUNCTION("""COMPUTED_VALUE"""),2)</f>
        <v>2</v>
      </c>
      <c r="H200" s="103" t="str">
        <f ca="1">IFERROR(__xludf.DUMMYFUNCTION("""COMPUTED_VALUE"""),"S")</f>
        <v>S</v>
      </c>
      <c r="I200" s="103" t="str">
        <f ca="1">IFERROR(__xludf.DUMMYFUNCTION("""COMPUTED_VALUE"""),"P")</f>
        <v>P</v>
      </c>
      <c r="J200" s="103" t="str">
        <f ca="1">IFERROR(__xludf.DUMMYFUNCTION("""COMPUTED_VALUE"""),"FCJ")</f>
        <v>FCJ</v>
      </c>
      <c r="K200" s="103" t="str">
        <f ca="1">IFERROR(__xludf.DUMMYFUNCTION("""COMPUTED_VALUE"""),"U")</f>
        <v>U</v>
      </c>
      <c r="L200" s="103"/>
      <c r="M200" s="103"/>
      <c r="N200" s="103">
        <f ca="1">IFERROR(__xludf.DUMMYFUNCTION("""COMPUTED_VALUE"""),4)</f>
        <v>4</v>
      </c>
      <c r="O200" s="103">
        <f ca="1">IFERROR(__xludf.DUMMYFUNCTION("""COMPUTED_VALUE"""),0)</f>
        <v>0</v>
      </c>
      <c r="P200" s="103">
        <f ca="1">IFERROR(__xludf.DUMMYFUNCTION("""COMPUTED_VALUE"""),0)</f>
        <v>0</v>
      </c>
      <c r="Q200" s="103">
        <f ca="1">IFERROR(__xludf.DUMMYFUNCTION("""COMPUTED_VALUE"""),0)</f>
        <v>0</v>
      </c>
      <c r="R200" s="103">
        <f ca="1">IFERROR(__xludf.DUMMYFUNCTION("""COMPUTED_VALUE"""),0)</f>
        <v>0</v>
      </c>
      <c r="S200" s="103" t="str">
        <f ca="1">IFERROR(__xludf.DUMMYFUNCTION("""COMPUTED_VALUE"""),"N")</f>
        <v>N</v>
      </c>
      <c r="T200" s="103">
        <f ca="1">IFERROR(__xludf.DUMMYFUNCTION("""COMPUTED_VALUE"""),1)</f>
        <v>1</v>
      </c>
      <c r="U200" s="103">
        <f ca="1">IFERROR(__xludf.DUMMYFUNCTION("""COMPUTED_VALUE"""),3)</f>
        <v>3</v>
      </c>
      <c r="V200" s="103"/>
      <c r="W200" s="103"/>
      <c r="X200" s="103"/>
      <c r="Y200" s="103"/>
      <c r="Z200" s="103"/>
      <c r="AA200" s="103"/>
      <c r="AB200" s="103"/>
      <c r="AC200" s="103"/>
      <c r="AD200" s="103">
        <f ca="1">IFERROR(__xludf.DUMMYFUNCTION("""COMPUTED_VALUE"""),65)</f>
        <v>65</v>
      </c>
      <c r="AE200" s="103">
        <f ca="1">IFERROR(__xludf.DUMMYFUNCTION("""COMPUTED_VALUE"""),22.2)</f>
        <v>22.2</v>
      </c>
      <c r="AF200" s="103">
        <f ca="1">IFERROR(__xludf.DUMMYFUNCTION("""COMPUTED_VALUE"""),300)</f>
        <v>300</v>
      </c>
      <c r="AG200" s="103">
        <f ca="1">IFERROR(__xludf.DUMMYFUNCTION("""COMPUTED_VALUE"""),7)</f>
        <v>7</v>
      </c>
      <c r="AH200" s="103">
        <f ca="1">IFERROR(__xludf.DUMMYFUNCTION("""COMPUTED_VALUE"""),24)</f>
        <v>24</v>
      </c>
      <c r="AI200" s="103">
        <f ca="1">IFERROR(__xludf.DUMMYFUNCTION("""COMPUTED_VALUE"""),620)</f>
        <v>620</v>
      </c>
      <c r="AJ200" s="103" t="str">
        <f ca="1">IFERROR(__xludf.DUMMYFUNCTION("""COMPUTED_VALUE"""),"MORS")</f>
        <v>MORS</v>
      </c>
      <c r="AK200" s="103">
        <f ca="1">IFERROR(__xludf.DUMMYFUNCTION("""COMPUTED_VALUE"""),21)</f>
        <v>21</v>
      </c>
      <c r="AL200" s="103"/>
      <c r="AM200" s="103"/>
      <c r="AN200" s="103"/>
      <c r="AO200" s="57" t="str">
        <f ca="1">IFERROR(__xludf.DUMMYFUNCTION("""COMPUTED_VALUE"""),"1B")</f>
        <v>1B</v>
      </c>
      <c r="AP200" s="103">
        <f ca="1">IFERROR(__xludf.DUMMYFUNCTION("""COMPUTED_VALUE"""),1)</f>
        <v>1</v>
      </c>
    </row>
    <row r="201" spans="1:42">
      <c r="A201" s="103">
        <f ca="1">IFERROR(__xludf.DUMMYFUNCTION("""COMPUTED_VALUE"""),2)</f>
        <v>2</v>
      </c>
      <c r="B201" s="103" t="str">
        <f ca="1">IFERROR(__xludf.DUMMYFUNCTION("""COMPUTED_VALUE"""),"JHT")</f>
        <v>JHT</v>
      </c>
      <c r="C201" s="103" t="str">
        <f ca="1">IFERROR(__xludf.DUMMYFUNCTION("""COMPUTED_VALUE"""),"N")</f>
        <v>N</v>
      </c>
      <c r="D201" s="103">
        <f ca="1">IFERROR(__xludf.DUMMYFUNCTION("""COMPUTED_VALUE"""),283105290)</f>
        <v>283105290</v>
      </c>
      <c r="E201" s="103" t="str">
        <f ca="1">IFERROR(__xludf.DUMMYFUNCTION("""COMPUTED_VALUE"""),"Swainson's Thrush")</f>
        <v>Swainson's Thrush</v>
      </c>
      <c r="F201" s="103" t="str">
        <f ca="1">IFERROR(__xludf.DUMMYFUNCTION("""COMPUTED_VALUE"""),"SWTH")</f>
        <v>SWTH</v>
      </c>
      <c r="G201" s="103">
        <f ca="1">IFERROR(__xludf.DUMMYFUNCTION("""COMPUTED_VALUE"""),1)</f>
        <v>1</v>
      </c>
      <c r="H201" s="103" t="str">
        <f ca="1">IFERROR(__xludf.DUMMYFUNCTION("""COMPUTED_VALUE"""),"S")</f>
        <v>S</v>
      </c>
      <c r="I201" s="103" t="str">
        <f ca="1">IFERROR(__xludf.DUMMYFUNCTION("""COMPUTED_VALUE"""),"P")</f>
        <v>P</v>
      </c>
      <c r="J201" s="103" t="str">
        <f ca="1">IFERROR(__xludf.DUMMYFUNCTION("""COMPUTED_VALUE"""),"UAJ")</f>
        <v>UAJ</v>
      </c>
      <c r="K201" s="103" t="str">
        <f ca="1">IFERROR(__xludf.DUMMYFUNCTION("""COMPUTED_VALUE"""),"F")</f>
        <v>F</v>
      </c>
      <c r="L201" s="103" t="str">
        <f ca="1">IFERROR(__xludf.DUMMYFUNCTION("""COMPUTED_VALUE"""),"B")</f>
        <v>B</v>
      </c>
      <c r="M201" s="103" t="str">
        <f ca="1">IFERROR(__xludf.DUMMYFUNCTION("""COMPUTED_VALUE"""),"P")</f>
        <v>P</v>
      </c>
      <c r="N201" s="103">
        <f ca="1">IFERROR(__xludf.DUMMYFUNCTION("""COMPUTED_VALUE"""),5)</f>
        <v>5</v>
      </c>
      <c r="O201" s="103">
        <f ca="1">IFERROR(__xludf.DUMMYFUNCTION("""COMPUTED_VALUE"""),0)</f>
        <v>0</v>
      </c>
      <c r="P201" s="103">
        <f ca="1">IFERROR(__xludf.DUMMYFUNCTION("""COMPUTED_VALUE"""),0)</f>
        <v>0</v>
      </c>
      <c r="Q201" s="103">
        <f ca="1">IFERROR(__xludf.DUMMYFUNCTION("""COMPUTED_VALUE"""),0)</f>
        <v>0</v>
      </c>
      <c r="R201" s="103">
        <f ca="1">IFERROR(__xludf.DUMMYFUNCTION("""COMPUTED_VALUE"""),0)</f>
        <v>0</v>
      </c>
      <c r="S201" s="103" t="str">
        <f ca="1">IFERROR(__xludf.DUMMYFUNCTION("""COMPUTED_VALUE"""),"N")</f>
        <v>N</v>
      </c>
      <c r="T201" s="103">
        <f ca="1">IFERROR(__xludf.DUMMYFUNCTION("""COMPUTED_VALUE"""),3)</f>
        <v>3</v>
      </c>
      <c r="U201" s="103"/>
      <c r="V201" s="103"/>
      <c r="W201" s="103"/>
      <c r="X201" s="103"/>
      <c r="Y201" s="103"/>
      <c r="Z201" s="103"/>
      <c r="AA201" s="103"/>
      <c r="AB201" s="103"/>
      <c r="AC201" s="103"/>
      <c r="AD201" s="103">
        <f ca="1">IFERROR(__xludf.DUMMYFUNCTION("""COMPUTED_VALUE"""),91)</f>
        <v>91</v>
      </c>
      <c r="AE201" s="103">
        <f ca="1">IFERROR(__xludf.DUMMYFUNCTION("""COMPUTED_VALUE"""),28.8)</f>
        <v>28.8</v>
      </c>
      <c r="AF201" s="103">
        <f ca="1">IFERROR(__xludf.DUMMYFUNCTION("""COMPUTED_VALUE"""),300)</f>
        <v>300</v>
      </c>
      <c r="AG201" s="103">
        <f ca="1">IFERROR(__xludf.DUMMYFUNCTION("""COMPUTED_VALUE"""),7)</f>
        <v>7</v>
      </c>
      <c r="AH201" s="103">
        <f ca="1">IFERROR(__xludf.DUMMYFUNCTION("""COMPUTED_VALUE"""),24)</f>
        <v>24</v>
      </c>
      <c r="AI201" s="103">
        <f ca="1">IFERROR(__xludf.DUMMYFUNCTION("""COMPUTED_VALUE"""),620)</f>
        <v>620</v>
      </c>
      <c r="AJ201" s="103" t="str">
        <f ca="1">IFERROR(__xludf.DUMMYFUNCTION("""COMPUTED_VALUE"""),"MORS")</f>
        <v>MORS</v>
      </c>
      <c r="AK201" s="103">
        <f ca="1">IFERROR(__xludf.DUMMYFUNCTION("""COMPUTED_VALUE"""),3)</f>
        <v>3</v>
      </c>
      <c r="AL201" s="103"/>
      <c r="AM201" s="103">
        <f ca="1">IFERROR(__xludf.DUMMYFUNCTION("""COMPUTED_VALUE"""),1)</f>
        <v>1</v>
      </c>
      <c r="AN201" s="103" t="str">
        <f ca="1">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 ca="1">IFERROR(__xludf.DUMMYFUNCTION("""COMPUTED_VALUE"""),"R")</f>
        <v>R</v>
      </c>
      <c r="AP201" s="103">
        <f ca="1">IFERROR(__xludf.DUMMYFUNCTION("""COMPUTED_VALUE"""),1)</f>
        <v>1</v>
      </c>
    </row>
    <row r="202" spans="1:42">
      <c r="A202" s="103">
        <f ca="1">IFERROR(__xludf.DUMMYFUNCTION("""COMPUTED_VALUE"""),3)</f>
        <v>3</v>
      </c>
      <c r="B202" s="103" t="str">
        <f ca="1">IFERROR(__xludf.DUMMYFUNCTION("""COMPUTED_VALUE"""),"JHT")</f>
        <v>JHT</v>
      </c>
      <c r="C202" s="103" t="str">
        <f ca="1">IFERROR(__xludf.DUMMYFUNCTION("""COMPUTED_VALUE"""),"R")</f>
        <v>R</v>
      </c>
      <c r="D202" s="103">
        <f ca="1">IFERROR(__xludf.DUMMYFUNCTION("""COMPUTED_VALUE"""),290077840)</f>
        <v>290077840</v>
      </c>
      <c r="E202" s="103" t="str">
        <f ca="1">IFERROR(__xludf.DUMMYFUNCTION("""COMPUTED_VALUE"""),"Common Yellowthroat")</f>
        <v>Common Yellowthroat</v>
      </c>
      <c r="F202" s="103" t="str">
        <f ca="1">IFERROR(__xludf.DUMMYFUNCTION("""COMPUTED_VALUE"""),"COYE")</f>
        <v>COYE</v>
      </c>
      <c r="G202" s="103">
        <f ca="1">IFERROR(__xludf.DUMMYFUNCTION("""COMPUTED_VALUE"""),1)</f>
        <v>1</v>
      </c>
      <c r="H202" s="103" t="str">
        <f ca="1">IFERROR(__xludf.DUMMYFUNCTION("""COMPUTED_VALUE"""),"S")</f>
        <v>S</v>
      </c>
      <c r="I202" s="103" t="str">
        <f ca="1">IFERROR(__xludf.DUMMYFUNCTION("""COMPUTED_VALUE"""),"P")</f>
        <v>P</v>
      </c>
      <c r="J202" s="103" t="str">
        <f ca="1">IFERROR(__xludf.DUMMYFUNCTION("""COMPUTED_VALUE"""),"UAJ")</f>
        <v>UAJ</v>
      </c>
      <c r="K202" s="103" t="str">
        <f ca="1">IFERROR(__xludf.DUMMYFUNCTION("""COMPUTED_VALUE"""),"F")</f>
        <v>F</v>
      </c>
      <c r="L202" s="103" t="str">
        <f ca="1">IFERROR(__xludf.DUMMYFUNCTION("""COMPUTED_VALUE"""),"P")</f>
        <v>P</v>
      </c>
      <c r="M202" s="103" t="str">
        <f ca="1">IFERROR(__xludf.DUMMYFUNCTION("""COMPUTED_VALUE"""),"B")</f>
        <v>B</v>
      </c>
      <c r="N202" s="103">
        <f ca="1">IFERROR(__xludf.DUMMYFUNCTION("""COMPUTED_VALUE"""),6)</f>
        <v>6</v>
      </c>
      <c r="O202" s="103">
        <f ca="1">IFERROR(__xludf.DUMMYFUNCTION("""COMPUTED_VALUE"""),0)</f>
        <v>0</v>
      </c>
      <c r="P202" s="103">
        <f ca="1">IFERROR(__xludf.DUMMYFUNCTION("""COMPUTED_VALUE"""),4)</f>
        <v>4</v>
      </c>
      <c r="Q202" s="103">
        <f ca="1">IFERROR(__xludf.DUMMYFUNCTION("""COMPUTED_VALUE"""),0)</f>
        <v>0</v>
      </c>
      <c r="R202" s="103">
        <f ca="1">IFERROR(__xludf.DUMMYFUNCTION("""COMPUTED_VALUE"""),0)</f>
        <v>0</v>
      </c>
      <c r="S202" s="103" t="str">
        <f ca="1">IFERROR(__xludf.DUMMYFUNCTION("""COMPUTED_VALUE"""),"N")</f>
        <v>N</v>
      </c>
      <c r="T202" s="103">
        <f ca="1">IFERROR(__xludf.DUMMYFUNCTION("""COMPUTED_VALUE"""),3)</f>
        <v>3</v>
      </c>
      <c r="U202" s="103"/>
      <c r="V202" s="103"/>
      <c r="W202" s="103"/>
      <c r="X202" s="103"/>
      <c r="Y202" s="103"/>
      <c r="Z202" s="103"/>
      <c r="AA202" s="103"/>
      <c r="AB202" s="103"/>
      <c r="AC202" s="103"/>
      <c r="AD202" s="103">
        <f ca="1">IFERROR(__xludf.DUMMYFUNCTION("""COMPUTED_VALUE"""),50)</f>
        <v>50</v>
      </c>
      <c r="AE202" s="103">
        <f ca="1">IFERROR(__xludf.DUMMYFUNCTION("""COMPUTED_VALUE"""),9.1)</f>
        <v>9.1</v>
      </c>
      <c r="AF202" s="103">
        <f ca="1">IFERROR(__xludf.DUMMYFUNCTION("""COMPUTED_VALUE"""),300)</f>
        <v>300</v>
      </c>
      <c r="AG202" s="103">
        <f ca="1">IFERROR(__xludf.DUMMYFUNCTION("""COMPUTED_VALUE"""),7)</f>
        <v>7</v>
      </c>
      <c r="AH202" s="103">
        <f ca="1">IFERROR(__xludf.DUMMYFUNCTION("""COMPUTED_VALUE"""),24)</f>
        <v>24</v>
      </c>
      <c r="AI202" s="103">
        <f ca="1">IFERROR(__xludf.DUMMYFUNCTION("""COMPUTED_VALUE"""),7)</f>
        <v>7</v>
      </c>
      <c r="AJ202" s="103" t="str">
        <f ca="1">IFERROR(__xludf.DUMMYFUNCTION("""COMPUTED_VALUE"""),"MORS")</f>
        <v>MORS</v>
      </c>
      <c r="AK202" s="103">
        <f ca="1">IFERROR(__xludf.DUMMYFUNCTION("""COMPUTED_VALUE"""),21)</f>
        <v>21</v>
      </c>
      <c r="AL202" s="103"/>
      <c r="AM202" s="103"/>
      <c r="AN202" s="103"/>
      <c r="AO202" s="57" t="str">
        <f ca="1">IFERROR(__xludf.DUMMYFUNCTION("""COMPUTED_VALUE"""),"R")</f>
        <v>R</v>
      </c>
      <c r="AP202" s="103">
        <f ca="1">IFERROR(__xludf.DUMMYFUNCTION("""COMPUTED_VALUE"""),1)</f>
        <v>1</v>
      </c>
    </row>
    <row r="203" spans="1:42">
      <c r="A203" s="103">
        <f ca="1">IFERROR(__xludf.DUMMYFUNCTION("""COMPUTED_VALUE"""),4)</f>
        <v>4</v>
      </c>
      <c r="B203" s="103" t="str">
        <f ca="1">IFERROR(__xludf.DUMMYFUNCTION("""COMPUTED_VALUE"""),"JHT")</f>
        <v>JHT</v>
      </c>
      <c r="C203" s="103" t="str">
        <f ca="1">IFERROR(__xludf.DUMMYFUNCTION("""COMPUTED_VALUE"""),"N")</f>
        <v>N</v>
      </c>
      <c r="D203" s="103">
        <f ca="1">IFERROR(__xludf.DUMMYFUNCTION("""COMPUTED_VALUE"""),172176256)</f>
        <v>172176256</v>
      </c>
      <c r="E203" s="103" t="str">
        <f ca="1">IFERROR(__xludf.DUMMYFUNCTION("""COMPUTED_VALUE"""),"Song Sparrow")</f>
        <v>Song Sparrow</v>
      </c>
      <c r="F203" s="103" t="str">
        <f ca="1">IFERROR(__xludf.DUMMYFUNCTION("""COMPUTED_VALUE"""),"SOSP")</f>
        <v>SOSP</v>
      </c>
      <c r="G203" s="103">
        <f ca="1">IFERROR(__xludf.DUMMYFUNCTION("""COMPUTED_VALUE"""),2)</f>
        <v>2</v>
      </c>
      <c r="H203" s="103" t="str">
        <f ca="1">IFERROR(__xludf.DUMMYFUNCTION("""COMPUTED_VALUE"""),"S")</f>
        <v>S</v>
      </c>
      <c r="I203" s="103" t="str">
        <f ca="1">IFERROR(__xludf.DUMMYFUNCTION("""COMPUTED_VALUE"""),"P")</f>
        <v>P</v>
      </c>
      <c r="J203" s="103" t="str">
        <f ca="1">IFERROR(__xludf.DUMMYFUNCTION("""COMPUTED_VALUE"""),"FCJ")</f>
        <v>FCJ</v>
      </c>
      <c r="K203" s="103" t="str">
        <f ca="1">IFERROR(__xludf.DUMMYFUNCTION("""COMPUTED_VALUE"""),"U")</f>
        <v>U</v>
      </c>
      <c r="L203" s="103"/>
      <c r="M203" s="103"/>
      <c r="N203" s="103">
        <f ca="1">IFERROR(__xludf.DUMMYFUNCTION("""COMPUTED_VALUE"""),4)</f>
        <v>4</v>
      </c>
      <c r="O203" s="103">
        <f ca="1">IFERROR(__xludf.DUMMYFUNCTION("""COMPUTED_VALUE"""),0)</f>
        <v>0</v>
      </c>
      <c r="P203" s="103">
        <f ca="1">IFERROR(__xludf.DUMMYFUNCTION("""COMPUTED_VALUE"""),3)</f>
        <v>3</v>
      </c>
      <c r="Q203" s="103">
        <f ca="1">IFERROR(__xludf.DUMMYFUNCTION("""COMPUTED_VALUE"""),1)</f>
        <v>1</v>
      </c>
      <c r="R203" s="103">
        <f ca="1">IFERROR(__xludf.DUMMYFUNCTION("""COMPUTED_VALUE"""),0)</f>
        <v>0</v>
      </c>
      <c r="S203" s="103" t="str">
        <f ca="1">IFERROR(__xludf.DUMMYFUNCTION("""COMPUTED_VALUE"""),"N")</f>
        <v>N</v>
      </c>
      <c r="T203" s="103">
        <f ca="1">IFERROR(__xludf.DUMMYFUNCTION("""COMPUTED_VALUE"""),1)</f>
        <v>1</v>
      </c>
      <c r="U203" s="103">
        <f ca="1">IFERROR(__xludf.DUMMYFUNCTION("""COMPUTED_VALUE"""),3)</f>
        <v>3</v>
      </c>
      <c r="V203" s="103"/>
      <c r="W203" s="103"/>
      <c r="X203" s="103"/>
      <c r="Y203" s="103"/>
      <c r="Z203" s="103"/>
      <c r="AA203" s="103"/>
      <c r="AB203" s="103"/>
      <c r="AC203" s="103"/>
      <c r="AD203" s="103">
        <f ca="1">IFERROR(__xludf.DUMMYFUNCTION("""COMPUTED_VALUE"""),59)</f>
        <v>59</v>
      </c>
      <c r="AE203" s="103">
        <f ca="1">IFERROR(__xludf.DUMMYFUNCTION("""COMPUTED_VALUE"""),19.9)</f>
        <v>19.899999999999999</v>
      </c>
      <c r="AF203" s="103">
        <f ca="1">IFERROR(__xludf.DUMMYFUNCTION("""COMPUTED_VALUE"""),300)</f>
        <v>300</v>
      </c>
      <c r="AG203" s="103">
        <f ca="1">IFERROR(__xludf.DUMMYFUNCTION("""COMPUTED_VALUE"""),7)</f>
        <v>7</v>
      </c>
      <c r="AH203" s="103">
        <f ca="1">IFERROR(__xludf.DUMMYFUNCTION("""COMPUTED_VALUE"""),24)</f>
        <v>24</v>
      </c>
      <c r="AI203" s="103">
        <f ca="1">IFERROR(__xludf.DUMMYFUNCTION("""COMPUTED_VALUE"""),7)</f>
        <v>7</v>
      </c>
      <c r="AJ203" s="103" t="str">
        <f ca="1">IFERROR(__xludf.DUMMYFUNCTION("""COMPUTED_VALUE"""),"MORS")</f>
        <v>MORS</v>
      </c>
      <c r="AK203" s="103">
        <f ca="1">IFERROR(__xludf.DUMMYFUNCTION("""COMPUTED_VALUE"""),21)</f>
        <v>21</v>
      </c>
      <c r="AL203" s="103"/>
      <c r="AM203" s="103"/>
      <c r="AN203" s="103"/>
      <c r="AO203" s="57" t="str">
        <f ca="1">IFERROR(__xludf.DUMMYFUNCTION("""COMPUTED_VALUE"""),"1B")</f>
        <v>1B</v>
      </c>
      <c r="AP203" s="103">
        <f ca="1">IFERROR(__xludf.DUMMYFUNCTION("""COMPUTED_VALUE"""),1)</f>
        <v>1</v>
      </c>
    </row>
    <row r="204" spans="1:42">
      <c r="A204" s="103">
        <f ca="1">IFERROR(__xludf.DUMMYFUNCTION("""COMPUTED_VALUE"""),5)</f>
        <v>5</v>
      </c>
      <c r="B204" s="103" t="str">
        <f ca="1">IFERROR(__xludf.DUMMYFUNCTION("""COMPUTED_VALUE"""),"JHT")</f>
        <v>JHT</v>
      </c>
      <c r="C204" s="103" t="str">
        <f ca="1">IFERROR(__xludf.DUMMYFUNCTION("""COMPUTED_VALUE"""),"N")</f>
        <v>N</v>
      </c>
      <c r="D204" s="103">
        <f ca="1">IFERROR(__xludf.DUMMYFUNCTION("""COMPUTED_VALUE"""),172176257)</f>
        <v>172176257</v>
      </c>
      <c r="E204" s="103" t="str">
        <f ca="1">IFERROR(__xludf.DUMMYFUNCTION("""COMPUTED_VALUE"""),"Song Sparrow")</f>
        <v>Song Sparrow</v>
      </c>
      <c r="F204" s="103" t="str">
        <f ca="1">IFERROR(__xludf.DUMMYFUNCTION("""COMPUTED_VALUE"""),"SOSP")</f>
        <v>SOSP</v>
      </c>
      <c r="G204" s="103">
        <f ca="1">IFERROR(__xludf.DUMMYFUNCTION("""COMPUTED_VALUE"""),2)</f>
        <v>2</v>
      </c>
      <c r="H204" s="103" t="str">
        <f ca="1">IFERROR(__xludf.DUMMYFUNCTION("""COMPUTED_VALUE"""),"S")</f>
        <v>S</v>
      </c>
      <c r="I204" s="103" t="str">
        <f ca="1">IFERROR(__xludf.DUMMYFUNCTION("""COMPUTED_VALUE"""),"P")</f>
        <v>P</v>
      </c>
      <c r="J204" s="103" t="str">
        <f ca="1">IFERROR(__xludf.DUMMYFUNCTION("""COMPUTED_VALUE"""),"FPF")</f>
        <v>FPF</v>
      </c>
      <c r="K204" s="103" t="str">
        <f ca="1">IFERROR(__xludf.DUMMYFUNCTION("""COMPUTED_VALUE"""),"U")</f>
        <v>U</v>
      </c>
      <c r="L204" s="103"/>
      <c r="M204" s="103"/>
      <c r="N204" s="103">
        <f ca="1">IFERROR(__xludf.DUMMYFUNCTION("""COMPUTED_VALUE"""),5)</f>
        <v>5</v>
      </c>
      <c r="O204" s="103">
        <f ca="1">IFERROR(__xludf.DUMMYFUNCTION("""COMPUTED_VALUE"""),0)</f>
        <v>0</v>
      </c>
      <c r="P204" s="103">
        <f ca="1">IFERROR(__xludf.DUMMYFUNCTION("""COMPUTED_VALUE"""),0)</f>
        <v>0</v>
      </c>
      <c r="Q204" s="103">
        <f ca="1">IFERROR(__xludf.DUMMYFUNCTION("""COMPUTED_VALUE"""),0)</f>
        <v>0</v>
      </c>
      <c r="R204" s="103">
        <f ca="1">IFERROR(__xludf.DUMMYFUNCTION("""COMPUTED_VALUE"""),3)</f>
        <v>3</v>
      </c>
      <c r="S204" s="103" t="str">
        <f ca="1">IFERROR(__xludf.DUMMYFUNCTION("""COMPUTED_VALUE"""),"N")</f>
        <v>N</v>
      </c>
      <c r="T204" s="103">
        <f ca="1">IFERROR(__xludf.DUMMYFUNCTION("""COMPUTED_VALUE"""),1)</f>
        <v>1</v>
      </c>
      <c r="U204" s="103">
        <f ca="1">IFERROR(__xludf.DUMMYFUNCTION("""COMPUTED_VALUE"""),2)</f>
        <v>2</v>
      </c>
      <c r="V204" s="103"/>
      <c r="W204" s="103"/>
      <c r="X204" s="103"/>
      <c r="Y204" s="103"/>
      <c r="Z204" s="103"/>
      <c r="AA204" s="103"/>
      <c r="AB204" s="103"/>
      <c r="AC204" s="103"/>
      <c r="AD204" s="103">
        <f ca="1">IFERROR(__xludf.DUMMYFUNCTION("""COMPUTED_VALUE"""),63)</f>
        <v>63</v>
      </c>
      <c r="AE204" s="103">
        <f ca="1">IFERROR(__xludf.DUMMYFUNCTION("""COMPUTED_VALUE"""),21.8)</f>
        <v>21.8</v>
      </c>
      <c r="AF204" s="103">
        <f ca="1">IFERROR(__xludf.DUMMYFUNCTION("""COMPUTED_VALUE"""),300)</f>
        <v>300</v>
      </c>
      <c r="AG204" s="103">
        <f ca="1">IFERROR(__xludf.DUMMYFUNCTION("""COMPUTED_VALUE"""),7)</f>
        <v>7</v>
      </c>
      <c r="AH204" s="103">
        <f ca="1">IFERROR(__xludf.DUMMYFUNCTION("""COMPUTED_VALUE"""),24)</f>
        <v>24</v>
      </c>
      <c r="AI204" s="103">
        <f ca="1">IFERROR(__xludf.DUMMYFUNCTION("""COMPUTED_VALUE"""),7)</f>
        <v>7</v>
      </c>
      <c r="AJ204" s="103" t="str">
        <f ca="1">IFERROR(__xludf.DUMMYFUNCTION("""COMPUTED_VALUE"""),"MORS")</f>
        <v>MORS</v>
      </c>
      <c r="AK204" s="103">
        <f ca="1">IFERROR(__xludf.DUMMYFUNCTION("""COMPUTED_VALUE"""),8)</f>
        <v>8</v>
      </c>
      <c r="AL204" s="103"/>
      <c r="AM204" s="103"/>
      <c r="AN204" s="103"/>
      <c r="AO204" s="57" t="str">
        <f ca="1">IFERROR(__xludf.DUMMYFUNCTION("""COMPUTED_VALUE"""),"1B")</f>
        <v>1B</v>
      </c>
      <c r="AP204" s="103">
        <f ca="1">IFERROR(__xludf.DUMMYFUNCTION("""COMPUTED_VALUE"""),1)</f>
        <v>1</v>
      </c>
    </row>
    <row r="205" spans="1:42">
      <c r="A205" s="103">
        <f ca="1">IFERROR(__xludf.DUMMYFUNCTION("""COMPUTED_VALUE"""),6)</f>
        <v>6</v>
      </c>
      <c r="B205" s="103" t="str">
        <f ca="1">IFERROR(__xludf.DUMMYFUNCTION("""COMPUTED_VALUE"""),"JHT")</f>
        <v>JHT</v>
      </c>
      <c r="C205" s="103" t="str">
        <f ca="1">IFERROR(__xludf.DUMMYFUNCTION("""COMPUTED_VALUE"""),"N")</f>
        <v>N</v>
      </c>
      <c r="D205" s="103">
        <f ca="1">IFERROR(__xludf.DUMMYFUNCTION("""COMPUTED_VALUE"""),282185240)</f>
        <v>282185240</v>
      </c>
      <c r="E205" s="103" t="str">
        <f ca="1">IFERROR(__xludf.DUMMYFUNCTION("""COMPUTED_VALUE"""),"Song Sparrow")</f>
        <v>Song Sparrow</v>
      </c>
      <c r="F205" s="103" t="str">
        <f ca="1">IFERROR(__xludf.DUMMYFUNCTION("""COMPUTED_VALUE"""),"SOSP")</f>
        <v>SOSP</v>
      </c>
      <c r="G205" s="103">
        <f ca="1">IFERROR(__xludf.DUMMYFUNCTION("""COMPUTED_VALUE"""),2)</f>
        <v>2</v>
      </c>
      <c r="H205" s="103" t="str">
        <f ca="1">IFERROR(__xludf.DUMMYFUNCTION("""COMPUTED_VALUE"""),"S")</f>
        <v>S</v>
      </c>
      <c r="I205" s="103" t="str">
        <f ca="1">IFERROR(__xludf.DUMMYFUNCTION("""COMPUTED_VALUE"""),"P")</f>
        <v>P</v>
      </c>
      <c r="J205" s="103" t="str">
        <f ca="1">IFERROR(__xludf.DUMMYFUNCTION("""COMPUTED_VALUE"""),"FCJ")</f>
        <v>FCJ</v>
      </c>
      <c r="K205" s="103" t="str">
        <f ca="1">IFERROR(__xludf.DUMMYFUNCTION("""COMPUTED_VALUE"""),"U")</f>
        <v>U</v>
      </c>
      <c r="L205" s="103"/>
      <c r="M205" s="103"/>
      <c r="N205" s="103">
        <f ca="1">IFERROR(__xludf.DUMMYFUNCTION("""COMPUTED_VALUE"""),5)</f>
        <v>5</v>
      </c>
      <c r="O205" s="103">
        <f ca="1">IFERROR(__xludf.DUMMYFUNCTION("""COMPUTED_VALUE"""),0)</f>
        <v>0</v>
      </c>
      <c r="P205" s="103">
        <f ca="1">IFERROR(__xludf.DUMMYFUNCTION("""COMPUTED_VALUE"""),0)</f>
        <v>0</v>
      </c>
      <c r="Q205" s="103">
        <f ca="1">IFERROR(__xludf.DUMMYFUNCTION("""COMPUTED_VALUE"""),1)</f>
        <v>1</v>
      </c>
      <c r="R205" s="103">
        <f ca="1">IFERROR(__xludf.DUMMYFUNCTION("""COMPUTED_VALUE"""),0)</f>
        <v>0</v>
      </c>
      <c r="S205" s="103" t="str">
        <f ca="1">IFERROR(__xludf.DUMMYFUNCTION("""COMPUTED_VALUE"""),"N")</f>
        <v>N</v>
      </c>
      <c r="T205" s="103">
        <f ca="1">IFERROR(__xludf.DUMMYFUNCTION("""COMPUTED_VALUE"""),1)</f>
        <v>1</v>
      </c>
      <c r="U205" s="103">
        <f ca="1">IFERROR(__xludf.DUMMYFUNCTION("""COMPUTED_VALUE"""),3)</f>
        <v>3</v>
      </c>
      <c r="V205" s="103"/>
      <c r="W205" s="103"/>
      <c r="X205" s="103"/>
      <c r="Y205" s="103"/>
      <c r="Z205" s="103"/>
      <c r="AA205" s="103"/>
      <c r="AB205" s="103"/>
      <c r="AC205" s="103"/>
      <c r="AD205" s="103">
        <f ca="1">IFERROR(__xludf.DUMMYFUNCTION("""COMPUTED_VALUE"""),65)</f>
        <v>65</v>
      </c>
      <c r="AE205" s="103">
        <f ca="1">IFERROR(__xludf.DUMMYFUNCTION("""COMPUTED_VALUE"""),22)</f>
        <v>22</v>
      </c>
      <c r="AF205" s="103">
        <f ca="1">IFERROR(__xludf.DUMMYFUNCTION("""COMPUTED_VALUE"""),300)</f>
        <v>300</v>
      </c>
      <c r="AG205" s="103">
        <f ca="1">IFERROR(__xludf.DUMMYFUNCTION("""COMPUTED_VALUE"""),7)</f>
        <v>7</v>
      </c>
      <c r="AH205" s="103">
        <f ca="1">IFERROR(__xludf.DUMMYFUNCTION("""COMPUTED_VALUE"""),24)</f>
        <v>24</v>
      </c>
      <c r="AI205" s="103">
        <f ca="1">IFERROR(__xludf.DUMMYFUNCTION("""COMPUTED_VALUE"""),7)</f>
        <v>7</v>
      </c>
      <c r="AJ205" s="103" t="str">
        <f ca="1">IFERROR(__xludf.DUMMYFUNCTION("""COMPUTED_VALUE"""),"MORS")</f>
        <v>MORS</v>
      </c>
      <c r="AK205" s="103">
        <f ca="1">IFERROR(__xludf.DUMMYFUNCTION("""COMPUTED_VALUE"""),21)</f>
        <v>21</v>
      </c>
      <c r="AL205" s="103"/>
      <c r="AM205" s="103"/>
      <c r="AN205" s="103"/>
      <c r="AO205" s="57" t="str">
        <f ca="1">IFERROR(__xludf.DUMMYFUNCTION("""COMPUTED_VALUE"""),"R")</f>
        <v>R</v>
      </c>
      <c r="AP205" s="103">
        <f ca="1">IFERROR(__xludf.DUMMYFUNCTION("""COMPUTED_VALUE"""),1)</f>
        <v>1</v>
      </c>
    </row>
    <row r="206" spans="1:42">
      <c r="A206" s="103">
        <f ca="1">IFERROR(__xludf.DUMMYFUNCTION("""COMPUTED_VALUE"""),7)</f>
        <v>7</v>
      </c>
      <c r="B206" s="103" t="str">
        <f ca="1">IFERROR(__xludf.DUMMYFUNCTION("""COMPUTED_VALUE"""),"JHT")</f>
        <v>JHT</v>
      </c>
      <c r="C206" s="103" t="str">
        <f ca="1">IFERROR(__xludf.DUMMYFUNCTION("""COMPUTED_VALUE"""),"N")</f>
        <v>N</v>
      </c>
      <c r="D206" s="103">
        <f ca="1">IFERROR(__xludf.DUMMYFUNCTION("""COMPUTED_VALUE"""),172176259)</f>
        <v>172176259</v>
      </c>
      <c r="E206" s="103" t="str">
        <f ca="1">IFERROR(__xludf.DUMMYFUNCTION("""COMPUTED_VALUE"""),"Song Sparrow")</f>
        <v>Song Sparrow</v>
      </c>
      <c r="F206" s="103" t="str">
        <f ca="1">IFERROR(__xludf.DUMMYFUNCTION("""COMPUTED_VALUE"""),"SOSP")</f>
        <v>SOSP</v>
      </c>
      <c r="G206" s="103">
        <f ca="1">IFERROR(__xludf.DUMMYFUNCTION("""COMPUTED_VALUE"""),2)</f>
        <v>2</v>
      </c>
      <c r="H206" s="103" t="str">
        <f ca="1">IFERROR(__xludf.DUMMYFUNCTION("""COMPUTED_VALUE"""),"S")</f>
        <v>S</v>
      </c>
      <c r="I206" s="103" t="str">
        <f ca="1">IFERROR(__xludf.DUMMYFUNCTION("""COMPUTED_VALUE"""),"P")</f>
        <v>P</v>
      </c>
      <c r="J206" s="103" t="str">
        <f ca="1">IFERROR(__xludf.DUMMYFUNCTION("""COMPUTED_VALUE"""),"FCJ")</f>
        <v>FCJ</v>
      </c>
      <c r="K206" s="103" t="str">
        <f ca="1">IFERROR(__xludf.DUMMYFUNCTION("""COMPUTED_VALUE"""),"U")</f>
        <v>U</v>
      </c>
      <c r="L206" s="103"/>
      <c r="M206" s="103"/>
      <c r="N206" s="103">
        <f ca="1">IFERROR(__xludf.DUMMYFUNCTION("""COMPUTED_VALUE"""),4)</f>
        <v>4</v>
      </c>
      <c r="O206" s="103">
        <f ca="1">IFERROR(__xludf.DUMMYFUNCTION("""COMPUTED_VALUE"""),0)</f>
        <v>0</v>
      </c>
      <c r="P206" s="103">
        <f ca="1">IFERROR(__xludf.DUMMYFUNCTION("""COMPUTED_VALUE"""),0)</f>
        <v>0</v>
      </c>
      <c r="Q206" s="103">
        <f ca="1">IFERROR(__xludf.DUMMYFUNCTION("""COMPUTED_VALUE"""),0)</f>
        <v>0</v>
      </c>
      <c r="R206" s="103">
        <f ca="1">IFERROR(__xludf.DUMMYFUNCTION("""COMPUTED_VALUE"""),0)</f>
        <v>0</v>
      </c>
      <c r="S206" s="103" t="str">
        <f ca="1">IFERROR(__xludf.DUMMYFUNCTION("""COMPUTED_VALUE"""),"N")</f>
        <v>N</v>
      </c>
      <c r="T206" s="103">
        <f ca="1">IFERROR(__xludf.DUMMYFUNCTION("""COMPUTED_VALUE"""),1)</f>
        <v>1</v>
      </c>
      <c r="U206" s="103">
        <f ca="1">IFERROR(__xludf.DUMMYFUNCTION("""COMPUTED_VALUE"""),3)</f>
        <v>3</v>
      </c>
      <c r="V206" s="103"/>
      <c r="W206" s="103"/>
      <c r="X206" s="103"/>
      <c r="Y206" s="103"/>
      <c r="Z206" s="103"/>
      <c r="AA206" s="103"/>
      <c r="AB206" s="103"/>
      <c r="AC206" s="103"/>
      <c r="AD206" s="103">
        <f ca="1">IFERROR(__xludf.DUMMYFUNCTION("""COMPUTED_VALUE"""),64)</f>
        <v>64</v>
      </c>
      <c r="AE206" s="103">
        <f ca="1">IFERROR(__xludf.DUMMYFUNCTION("""COMPUTED_VALUE"""),20.5)</f>
        <v>20.5</v>
      </c>
      <c r="AF206" s="103">
        <f ca="1">IFERROR(__xludf.DUMMYFUNCTION("""COMPUTED_VALUE"""),300)</f>
        <v>300</v>
      </c>
      <c r="AG206" s="103">
        <f ca="1">IFERROR(__xludf.DUMMYFUNCTION("""COMPUTED_VALUE"""),7)</f>
        <v>7</v>
      </c>
      <c r="AH206" s="103">
        <f ca="1">IFERROR(__xludf.DUMMYFUNCTION("""COMPUTED_VALUE"""),24)</f>
        <v>24</v>
      </c>
      <c r="AI206" s="103">
        <f ca="1">IFERROR(__xludf.DUMMYFUNCTION("""COMPUTED_VALUE"""),740)</f>
        <v>740</v>
      </c>
      <c r="AJ206" s="103" t="str">
        <f ca="1">IFERROR(__xludf.DUMMYFUNCTION("""COMPUTED_VALUE"""),"MORS")</f>
        <v>MORS</v>
      </c>
      <c r="AK206" s="103">
        <f ca="1">IFERROR(__xludf.DUMMYFUNCTION("""COMPUTED_VALUE"""),7)</f>
        <v>7</v>
      </c>
      <c r="AL206" s="103"/>
      <c r="AM206" s="103"/>
      <c r="AN206" s="103"/>
      <c r="AO206" s="57" t="str">
        <f ca="1">IFERROR(__xludf.DUMMYFUNCTION("""COMPUTED_VALUE"""),"1B")</f>
        <v>1B</v>
      </c>
      <c r="AP206" s="103">
        <f ca="1">IFERROR(__xludf.DUMMYFUNCTION("""COMPUTED_VALUE"""),1)</f>
        <v>1</v>
      </c>
    </row>
    <row r="207" spans="1:42">
      <c r="A207" s="103">
        <f ca="1">IFERROR(__xludf.DUMMYFUNCTION("""COMPUTED_VALUE"""),8)</f>
        <v>8</v>
      </c>
      <c r="B207" s="103" t="str">
        <f ca="1">IFERROR(__xludf.DUMMYFUNCTION("""COMPUTED_VALUE"""),"JHT")</f>
        <v>JHT</v>
      </c>
      <c r="C207" s="103" t="str">
        <f ca="1">IFERROR(__xludf.DUMMYFUNCTION("""COMPUTED_VALUE"""),"N")</f>
        <v>N</v>
      </c>
      <c r="D207" s="103">
        <f ca="1">IFERROR(__xludf.DUMMYFUNCTION("""COMPUTED_VALUE"""),172176260)</f>
        <v>172176260</v>
      </c>
      <c r="E207" s="103" t="str">
        <f ca="1">IFERROR(__xludf.DUMMYFUNCTION("""COMPUTED_VALUE"""),"Song Sparrow")</f>
        <v>Song Sparrow</v>
      </c>
      <c r="F207" s="103" t="str">
        <f ca="1">IFERROR(__xludf.DUMMYFUNCTION("""COMPUTED_VALUE"""),"SOSP")</f>
        <v>SOSP</v>
      </c>
      <c r="G207" s="103">
        <f ca="1">IFERROR(__xludf.DUMMYFUNCTION("""COMPUTED_VALUE"""),1)</f>
        <v>1</v>
      </c>
      <c r="H207" s="103" t="str">
        <f ca="1">IFERROR(__xludf.DUMMYFUNCTION("""COMPUTED_VALUE"""),"S")</f>
        <v>S</v>
      </c>
      <c r="I207" s="103" t="str">
        <f ca="1">IFERROR(__xludf.DUMMYFUNCTION("""COMPUTED_VALUE"""),"P")</f>
        <v>P</v>
      </c>
      <c r="J207" s="103" t="str">
        <f ca="1">IFERROR(__xludf.DUMMYFUNCTION("""COMPUTED_VALUE"""),"UAJ")</f>
        <v>UAJ</v>
      </c>
      <c r="K207" s="103" t="str">
        <f ca="1">IFERROR(__xludf.DUMMYFUNCTION("""COMPUTED_VALUE"""),"F")</f>
        <v>F</v>
      </c>
      <c r="L207" s="103" t="str">
        <f ca="1">IFERROR(__xludf.DUMMYFUNCTION("""COMPUTED_VALUE"""),"B")</f>
        <v>B</v>
      </c>
      <c r="M207" s="103" t="str">
        <f ca="1">IFERROR(__xludf.DUMMYFUNCTION("""COMPUTED_VALUE"""),"P")</f>
        <v>P</v>
      </c>
      <c r="N207" s="103">
        <f ca="1">IFERROR(__xludf.DUMMYFUNCTION("""COMPUTED_VALUE"""),6)</f>
        <v>6</v>
      </c>
      <c r="O207" s="103">
        <f ca="1">IFERROR(__xludf.DUMMYFUNCTION("""COMPUTED_VALUE"""),0)</f>
        <v>0</v>
      </c>
      <c r="P207" s="103">
        <f ca="1">IFERROR(__xludf.DUMMYFUNCTION("""COMPUTED_VALUE"""),4)</f>
        <v>4</v>
      </c>
      <c r="Q207" s="103">
        <f ca="1">IFERROR(__xludf.DUMMYFUNCTION("""COMPUTED_VALUE"""),1)</f>
        <v>1</v>
      </c>
      <c r="R207" s="103">
        <f ca="1">IFERROR(__xludf.DUMMYFUNCTION("""COMPUTED_VALUE"""),1)</f>
        <v>1</v>
      </c>
      <c r="S207" s="103" t="str">
        <f ca="1">IFERROR(__xludf.DUMMYFUNCTION("""COMPUTED_VALUE"""),"N")</f>
        <v>N</v>
      </c>
      <c r="T207" s="103">
        <f ca="1">IFERROR(__xludf.DUMMYFUNCTION("""COMPUTED_VALUE"""),3)</f>
        <v>3</v>
      </c>
      <c r="U207" s="103"/>
      <c r="V207" s="103"/>
      <c r="W207" s="103"/>
      <c r="X207" s="103"/>
      <c r="Y207" s="103"/>
      <c r="Z207" s="103"/>
      <c r="AA207" s="103"/>
      <c r="AB207" s="103"/>
      <c r="AC207" s="103"/>
      <c r="AD207" s="103">
        <f ca="1">IFERROR(__xludf.DUMMYFUNCTION("""COMPUTED_VALUE"""),64)</f>
        <v>64</v>
      </c>
      <c r="AE207" s="103">
        <f ca="1">IFERROR(__xludf.DUMMYFUNCTION("""COMPUTED_VALUE"""),24.5)</f>
        <v>24.5</v>
      </c>
      <c r="AF207" s="103">
        <f ca="1">IFERROR(__xludf.DUMMYFUNCTION("""COMPUTED_VALUE"""),300)</f>
        <v>300</v>
      </c>
      <c r="AG207" s="103">
        <f ca="1">IFERROR(__xludf.DUMMYFUNCTION("""COMPUTED_VALUE"""),7)</f>
        <v>7</v>
      </c>
      <c r="AH207" s="103">
        <f ca="1">IFERROR(__xludf.DUMMYFUNCTION("""COMPUTED_VALUE"""),24)</f>
        <v>24</v>
      </c>
      <c r="AI207" s="103">
        <f ca="1">IFERROR(__xludf.DUMMYFUNCTION("""COMPUTED_VALUE"""),740)</f>
        <v>740</v>
      </c>
      <c r="AJ207" s="103" t="str">
        <f ca="1">IFERROR(__xludf.DUMMYFUNCTION("""COMPUTED_VALUE"""),"MORS")</f>
        <v>MORS</v>
      </c>
      <c r="AK207" s="103">
        <f ca="1">IFERROR(__xludf.DUMMYFUNCTION("""COMPUTED_VALUE"""),20)</f>
        <v>20</v>
      </c>
      <c r="AL207" s="103"/>
      <c r="AM207" s="103"/>
      <c r="AN207" s="103"/>
      <c r="AO207" s="57" t="str">
        <f ca="1">IFERROR(__xludf.DUMMYFUNCTION("""COMPUTED_VALUE"""),"1B")</f>
        <v>1B</v>
      </c>
      <c r="AP207" s="103">
        <f ca="1">IFERROR(__xludf.DUMMYFUNCTION("""COMPUTED_VALUE"""),1)</f>
        <v>1</v>
      </c>
    </row>
    <row r="208" spans="1:42">
      <c r="A208" s="103">
        <f ca="1">IFERROR(__xludf.DUMMYFUNCTION("""COMPUTED_VALUE"""),9)</f>
        <v>9</v>
      </c>
      <c r="B208" s="103" t="str">
        <f ca="1">IFERROR(__xludf.DUMMYFUNCTION("""COMPUTED_VALUE"""),"JHT")</f>
        <v>JHT</v>
      </c>
      <c r="C208" s="103" t="str">
        <f ca="1">IFERROR(__xludf.DUMMYFUNCTION("""COMPUTED_VALUE"""),"N")</f>
        <v>N</v>
      </c>
      <c r="D208" s="103">
        <f ca="1">IFERROR(__xludf.DUMMYFUNCTION("""COMPUTED_VALUE"""),288029969)</f>
        <v>288029969</v>
      </c>
      <c r="E208" s="103" t="str">
        <f ca="1">IFERROR(__xludf.DUMMYFUNCTION("""COMPUTED_VALUE"""),"Common Yellowthroat")</f>
        <v>Common Yellowthroat</v>
      </c>
      <c r="F208" s="103" t="str">
        <f ca="1">IFERROR(__xludf.DUMMYFUNCTION("""COMPUTED_VALUE"""),"COYE")</f>
        <v>COYE</v>
      </c>
      <c r="G208" s="103">
        <f ca="1">IFERROR(__xludf.DUMMYFUNCTION("""COMPUTED_VALUE"""),2)</f>
        <v>2</v>
      </c>
      <c r="H208" s="103" t="str">
        <f ca="1">IFERROR(__xludf.DUMMYFUNCTION("""COMPUTED_VALUE"""),"S")</f>
        <v>S</v>
      </c>
      <c r="I208" s="103" t="str">
        <f ca="1">IFERROR(__xludf.DUMMYFUNCTION("""COMPUTED_VALUE"""),"I")</f>
        <v>I</v>
      </c>
      <c r="J208" s="103" t="str">
        <f ca="1">IFERROR(__xludf.DUMMYFUNCTION("""COMPUTED_VALUE"""),"FCJ")</f>
        <v>FCJ</v>
      </c>
      <c r="K208" s="103" t="str">
        <f ca="1">IFERROR(__xludf.DUMMYFUNCTION("""COMPUTED_VALUE"""),"F")</f>
        <v>F</v>
      </c>
      <c r="L208" s="103" t="str">
        <f ca="1">IFERROR(__xludf.DUMMYFUNCTION("""COMPUTED_VALUE"""),"P")</f>
        <v>P</v>
      </c>
      <c r="M208" s="103"/>
      <c r="N208" s="103">
        <f ca="1">IFERROR(__xludf.DUMMYFUNCTION("""COMPUTED_VALUE"""),3)</f>
        <v>3</v>
      </c>
      <c r="O208" s="103">
        <f ca="1">IFERROR(__xludf.DUMMYFUNCTION("""COMPUTED_VALUE"""),0)</f>
        <v>0</v>
      </c>
      <c r="P208" s="103">
        <f ca="1">IFERROR(__xludf.DUMMYFUNCTION("""COMPUTED_VALUE"""),0)</f>
        <v>0</v>
      </c>
      <c r="Q208" s="103">
        <f ca="1">IFERROR(__xludf.DUMMYFUNCTION("""COMPUTED_VALUE"""),1)</f>
        <v>1</v>
      </c>
      <c r="R208" s="103">
        <f ca="1">IFERROR(__xludf.DUMMYFUNCTION("""COMPUTED_VALUE"""),1)</f>
        <v>1</v>
      </c>
      <c r="S208" s="103" t="str">
        <f ca="1">IFERROR(__xludf.DUMMYFUNCTION("""COMPUTED_VALUE"""),"N")</f>
        <v>N</v>
      </c>
      <c r="T208" s="103">
        <f ca="1">IFERROR(__xludf.DUMMYFUNCTION("""COMPUTED_VALUE"""),1)</f>
        <v>1</v>
      </c>
      <c r="U208" s="103">
        <f ca="1">IFERROR(__xludf.DUMMYFUNCTION("""COMPUTED_VALUE"""),3)</f>
        <v>3</v>
      </c>
      <c r="V208" s="103"/>
      <c r="W208" s="103"/>
      <c r="X208" s="103"/>
      <c r="Y208" s="103"/>
      <c r="Z208" s="103"/>
      <c r="AA208" s="103"/>
      <c r="AB208" s="103"/>
      <c r="AC208" s="103"/>
      <c r="AD208" s="103">
        <f ca="1">IFERROR(__xludf.DUMMYFUNCTION("""COMPUTED_VALUE"""),51)</f>
        <v>51</v>
      </c>
      <c r="AE208" s="103">
        <f ca="1">IFERROR(__xludf.DUMMYFUNCTION("""COMPUTED_VALUE"""),9.8)</f>
        <v>9.8000000000000007</v>
      </c>
      <c r="AF208" s="103">
        <f ca="1">IFERROR(__xludf.DUMMYFUNCTION("""COMPUTED_VALUE"""),300)</f>
        <v>300</v>
      </c>
      <c r="AG208" s="103">
        <f ca="1">IFERROR(__xludf.DUMMYFUNCTION("""COMPUTED_VALUE"""),7)</f>
        <v>7</v>
      </c>
      <c r="AH208" s="103">
        <f ca="1">IFERROR(__xludf.DUMMYFUNCTION("""COMPUTED_VALUE"""),24)</f>
        <v>24</v>
      </c>
      <c r="AI208" s="103">
        <f ca="1">IFERROR(__xludf.DUMMYFUNCTION("""COMPUTED_VALUE"""),810)</f>
        <v>810</v>
      </c>
      <c r="AJ208" s="103" t="str">
        <f ca="1">IFERROR(__xludf.DUMMYFUNCTION("""COMPUTED_VALUE"""),"MORS")</f>
        <v>MORS</v>
      </c>
      <c r="AK208" s="103">
        <f ca="1">IFERROR(__xludf.DUMMYFUNCTION("""COMPUTED_VALUE"""),21)</f>
        <v>21</v>
      </c>
      <c r="AL208" s="103"/>
      <c r="AM208" s="103"/>
      <c r="AN208" s="103"/>
      <c r="AO208" s="57">
        <f ca="1">IFERROR(__xludf.DUMMYFUNCTION("""COMPUTED_VALUE"""),0)</f>
        <v>0</v>
      </c>
      <c r="AP208" s="103">
        <f ca="1">IFERROR(__xludf.DUMMYFUNCTION("""COMPUTED_VALUE"""),1)</f>
        <v>1</v>
      </c>
    </row>
    <row r="209" spans="1:42">
      <c r="A209" s="103">
        <f ca="1">IFERROR(__xludf.DUMMYFUNCTION("""COMPUTED_VALUE"""),10)</f>
        <v>10</v>
      </c>
      <c r="B209" s="103" t="str">
        <f ca="1">IFERROR(__xludf.DUMMYFUNCTION("""COMPUTED_VALUE"""),"JHT")</f>
        <v>JHT</v>
      </c>
      <c r="C209" s="103" t="str">
        <f ca="1">IFERROR(__xludf.DUMMYFUNCTION("""COMPUTED_VALUE"""),"N")</f>
        <v>N</v>
      </c>
      <c r="D209" s="103">
        <f ca="1">IFERROR(__xludf.DUMMYFUNCTION("""COMPUTED_VALUE"""),172176261)</f>
        <v>172176261</v>
      </c>
      <c r="E209" s="103" t="str">
        <f ca="1">IFERROR(__xludf.DUMMYFUNCTION("""COMPUTED_VALUE"""),"Swainson's Thrush")</f>
        <v>Swainson's Thrush</v>
      </c>
      <c r="F209" s="103" t="str">
        <f ca="1">IFERROR(__xludf.DUMMYFUNCTION("""COMPUTED_VALUE"""),"SWTH")</f>
        <v>SWTH</v>
      </c>
      <c r="G209" s="103">
        <f ca="1">IFERROR(__xludf.DUMMYFUNCTION("""COMPUTED_VALUE"""),2)</f>
        <v>2</v>
      </c>
      <c r="H209" s="103" t="str">
        <f ca="1">IFERROR(__xludf.DUMMYFUNCTION("""COMPUTED_VALUE"""),"P")</f>
        <v>P</v>
      </c>
      <c r="I209" s="103" t="str">
        <f ca="1">IFERROR(__xludf.DUMMYFUNCTION("""COMPUTED_VALUE"""),"S")</f>
        <v>S</v>
      </c>
      <c r="J209" s="103" t="str">
        <f ca="1">IFERROR(__xludf.DUMMYFUNCTION("""COMPUTED_VALUE"""),"FPF")</f>
        <v>FPF</v>
      </c>
      <c r="K209" s="103" t="str">
        <f ca="1">IFERROR(__xludf.DUMMYFUNCTION("""COMPUTED_VALUE"""),"U")</f>
        <v>U</v>
      </c>
      <c r="L209" s="103"/>
      <c r="M209" s="103"/>
      <c r="N209" s="103">
        <f ca="1">IFERROR(__xludf.DUMMYFUNCTION("""COMPUTED_VALUE"""),3)</f>
        <v>3</v>
      </c>
      <c r="O209" s="103">
        <f ca="1">IFERROR(__xludf.DUMMYFUNCTION("""COMPUTED_VALUE"""),0)</f>
        <v>0</v>
      </c>
      <c r="P209" s="103">
        <f ca="1">IFERROR(__xludf.DUMMYFUNCTION("""COMPUTED_VALUE"""),0)</f>
        <v>0</v>
      </c>
      <c r="Q209" s="103">
        <f ca="1">IFERROR(__xludf.DUMMYFUNCTION("""COMPUTED_VALUE"""),0)</f>
        <v>0</v>
      </c>
      <c r="R209" s="103">
        <f ca="1">IFERROR(__xludf.DUMMYFUNCTION("""COMPUTED_VALUE"""),3)</f>
        <v>3</v>
      </c>
      <c r="S209" s="103" t="str">
        <f ca="1">IFERROR(__xludf.DUMMYFUNCTION("""COMPUTED_VALUE"""),"N")</f>
        <v>N</v>
      </c>
      <c r="T209" s="103">
        <f ca="1">IFERROR(__xludf.DUMMYFUNCTION("""COMPUTED_VALUE"""),1)</f>
        <v>1</v>
      </c>
      <c r="U209" s="103">
        <f ca="1">IFERROR(__xludf.DUMMYFUNCTION("""COMPUTED_VALUE"""),2)</f>
        <v>2</v>
      </c>
      <c r="V209" s="103"/>
      <c r="W209" s="103"/>
      <c r="X209" s="103"/>
      <c r="Y209" s="103"/>
      <c r="Z209" s="103"/>
      <c r="AA209" s="103"/>
      <c r="AB209" s="103"/>
      <c r="AC209" s="103"/>
      <c r="AD209" s="103">
        <f ca="1">IFERROR(__xludf.DUMMYFUNCTION("""COMPUTED_VALUE"""),96)</f>
        <v>96</v>
      </c>
      <c r="AE209" s="103">
        <f ca="1">IFERROR(__xludf.DUMMYFUNCTION("""COMPUTED_VALUE"""),32)</f>
        <v>32</v>
      </c>
      <c r="AF209" s="103">
        <f ca="1">IFERROR(__xludf.DUMMYFUNCTION("""COMPUTED_VALUE"""),300)</f>
        <v>300</v>
      </c>
      <c r="AG209" s="103">
        <f ca="1">IFERROR(__xludf.DUMMYFUNCTION("""COMPUTED_VALUE"""),7)</f>
        <v>7</v>
      </c>
      <c r="AH209" s="103">
        <f ca="1">IFERROR(__xludf.DUMMYFUNCTION("""COMPUTED_VALUE"""),24)</f>
        <v>24</v>
      </c>
      <c r="AI209" s="103">
        <f ca="1">IFERROR(__xludf.DUMMYFUNCTION("""COMPUTED_VALUE"""),810)</f>
        <v>810</v>
      </c>
      <c r="AJ209" s="103" t="str">
        <f ca="1">IFERROR(__xludf.DUMMYFUNCTION("""COMPUTED_VALUE"""),"MORS")</f>
        <v>MORS</v>
      </c>
      <c r="AK209" s="103">
        <f ca="1">IFERROR(__xludf.DUMMYFUNCTION("""COMPUTED_VALUE"""),21)</f>
        <v>21</v>
      </c>
      <c r="AL209" s="103"/>
      <c r="AM209" s="103"/>
      <c r="AN209" s="103"/>
      <c r="AO209" s="57" t="str">
        <f ca="1">IFERROR(__xludf.DUMMYFUNCTION("""COMPUTED_VALUE"""),"1B")</f>
        <v>1B</v>
      </c>
      <c r="AP209" s="103">
        <f ca="1">IFERROR(__xludf.DUMMYFUNCTION("""COMPUTED_VALUE"""),1)</f>
        <v>1</v>
      </c>
    </row>
    <row r="210" spans="1:42">
      <c r="A210" s="103">
        <f ca="1">IFERROR(__xludf.DUMMYFUNCTION("""COMPUTED_VALUE"""),11)</f>
        <v>11</v>
      </c>
      <c r="B210" s="103" t="str">
        <f ca="1">IFERROR(__xludf.DUMMYFUNCTION("""COMPUTED_VALUE"""),"JHT")</f>
        <v>JHT</v>
      </c>
      <c r="C210" s="103" t="str">
        <f ca="1">IFERROR(__xludf.DUMMYFUNCTION("""COMPUTED_VALUE"""),"N")</f>
        <v>N</v>
      </c>
      <c r="D210" s="103">
        <f ca="1">IFERROR(__xludf.DUMMYFUNCTION("""COMPUTED_VALUE"""),172176262)</f>
        <v>172176262</v>
      </c>
      <c r="E210" s="103" t="str">
        <f ca="1">IFERROR(__xludf.DUMMYFUNCTION("""COMPUTED_VALUE"""),"Swainson's Thrush")</f>
        <v>Swainson's Thrush</v>
      </c>
      <c r="F210" s="103" t="str">
        <f ca="1">IFERROR(__xludf.DUMMYFUNCTION("""COMPUTED_VALUE"""),"SWTH")</f>
        <v>SWTH</v>
      </c>
      <c r="G210" s="103">
        <f ca="1">IFERROR(__xludf.DUMMYFUNCTION("""COMPUTED_VALUE"""),2)</f>
        <v>2</v>
      </c>
      <c r="H210" s="103" t="str">
        <f ca="1">IFERROR(__xludf.DUMMYFUNCTION("""COMPUTED_VALUE"""),"P")</f>
        <v>P</v>
      </c>
      <c r="I210" s="103" t="str">
        <f ca="1">IFERROR(__xludf.DUMMYFUNCTION("""COMPUTED_VALUE"""),"S")</f>
        <v>S</v>
      </c>
      <c r="J210" s="103" t="str">
        <f ca="1">IFERROR(__xludf.DUMMYFUNCTION("""COMPUTED_VALUE"""),"FPF")</f>
        <v>FPF</v>
      </c>
      <c r="K210" s="103" t="str">
        <f ca="1">IFERROR(__xludf.DUMMYFUNCTION("""COMPUTED_VALUE"""),"U")</f>
        <v>U</v>
      </c>
      <c r="L210" s="103"/>
      <c r="M210" s="103"/>
      <c r="N210" s="103">
        <f ca="1">IFERROR(__xludf.DUMMYFUNCTION("""COMPUTED_VALUE"""),3)</f>
        <v>3</v>
      </c>
      <c r="O210" s="103">
        <f ca="1">IFERROR(__xludf.DUMMYFUNCTION("""COMPUTED_VALUE"""),0)</f>
        <v>0</v>
      </c>
      <c r="P210" s="103">
        <f ca="1">IFERROR(__xludf.DUMMYFUNCTION("""COMPUTED_VALUE"""),0)</f>
        <v>0</v>
      </c>
      <c r="Q210" s="103">
        <f ca="1">IFERROR(__xludf.DUMMYFUNCTION("""COMPUTED_VALUE"""),1)</f>
        <v>1</v>
      </c>
      <c r="R210" s="103">
        <f ca="1">IFERROR(__xludf.DUMMYFUNCTION("""COMPUTED_VALUE"""),2)</f>
        <v>2</v>
      </c>
      <c r="S210" s="103" t="str">
        <f ca="1">IFERROR(__xludf.DUMMYFUNCTION("""COMPUTED_VALUE"""),"N")</f>
        <v>N</v>
      </c>
      <c r="T210" s="103">
        <f ca="1">IFERROR(__xludf.DUMMYFUNCTION("""COMPUTED_VALUE"""),1)</f>
        <v>1</v>
      </c>
      <c r="U210" s="103">
        <f ca="1">IFERROR(__xludf.DUMMYFUNCTION("""COMPUTED_VALUE"""),2)</f>
        <v>2</v>
      </c>
      <c r="V210" s="103"/>
      <c r="W210" s="103"/>
      <c r="X210" s="103"/>
      <c r="Y210" s="103"/>
      <c r="Z210" s="103"/>
      <c r="AA210" s="103"/>
      <c r="AB210" s="103"/>
      <c r="AC210" s="103"/>
      <c r="AD210" s="103">
        <f ca="1">IFERROR(__xludf.DUMMYFUNCTION("""COMPUTED_VALUE"""),93)</f>
        <v>93</v>
      </c>
      <c r="AE210" s="103">
        <f ca="1">IFERROR(__xludf.DUMMYFUNCTION("""COMPUTED_VALUE"""),29.7)</f>
        <v>29.7</v>
      </c>
      <c r="AF210" s="103">
        <f ca="1">IFERROR(__xludf.DUMMYFUNCTION("""COMPUTED_VALUE"""),300)</f>
        <v>300</v>
      </c>
      <c r="AG210" s="103">
        <f ca="1">IFERROR(__xludf.DUMMYFUNCTION("""COMPUTED_VALUE"""),7)</f>
        <v>7</v>
      </c>
      <c r="AH210" s="103">
        <f ca="1">IFERROR(__xludf.DUMMYFUNCTION("""COMPUTED_VALUE"""),24)</f>
        <v>24</v>
      </c>
      <c r="AI210" s="103">
        <f ca="1">IFERROR(__xludf.DUMMYFUNCTION("""COMPUTED_VALUE"""),840)</f>
        <v>840</v>
      </c>
      <c r="AJ210" s="103" t="str">
        <f ca="1">IFERROR(__xludf.DUMMYFUNCTION("""COMPUTED_VALUE"""),"MORS")</f>
        <v>MORS</v>
      </c>
      <c r="AK210" s="103">
        <f ca="1">IFERROR(__xludf.DUMMYFUNCTION("""COMPUTED_VALUE"""),15)</f>
        <v>15</v>
      </c>
      <c r="AL210" s="103"/>
      <c r="AM210" s="103"/>
      <c r="AN210" s="103"/>
      <c r="AO210" s="57" t="str">
        <f ca="1">IFERROR(__xludf.DUMMYFUNCTION("""COMPUTED_VALUE"""),"1B")</f>
        <v>1B</v>
      </c>
      <c r="AP210" s="103">
        <f ca="1">IFERROR(__xludf.DUMMYFUNCTION("""COMPUTED_VALUE"""),1)</f>
        <v>1</v>
      </c>
    </row>
    <row r="211" spans="1:42">
      <c r="A211" s="103">
        <f ca="1">IFERROR(__xludf.DUMMYFUNCTION("""COMPUTED_VALUE"""),12)</f>
        <v>12</v>
      </c>
      <c r="B211" s="103" t="str">
        <f ca="1">IFERROR(__xludf.DUMMYFUNCTION("""COMPUTED_VALUE"""),"JHT")</f>
        <v>JHT</v>
      </c>
      <c r="C211" s="103" t="str">
        <f ca="1">IFERROR(__xludf.DUMMYFUNCTION("""COMPUTED_VALUE"""),"N")</f>
        <v>N</v>
      </c>
      <c r="D211" s="103">
        <f ca="1">IFERROR(__xludf.DUMMYFUNCTION("""COMPUTED_VALUE"""),135291879)</f>
        <v>135291879</v>
      </c>
      <c r="E211" s="103" t="str">
        <f ca="1">IFERROR(__xludf.DUMMYFUNCTION("""COMPUTED_VALUE"""),"Spotted Towhee")</f>
        <v>Spotted Towhee</v>
      </c>
      <c r="F211" s="103" t="str">
        <f ca="1">IFERROR(__xludf.DUMMYFUNCTION("""COMPUTED_VALUE"""),"SPTO")</f>
        <v>SPTO</v>
      </c>
      <c r="G211" s="103">
        <f ca="1">IFERROR(__xludf.DUMMYFUNCTION("""COMPUTED_VALUE"""),2)</f>
        <v>2</v>
      </c>
      <c r="H211" s="103" t="str">
        <f ca="1">IFERROR(__xludf.DUMMYFUNCTION("""COMPUTED_VALUE"""),"P")</f>
        <v>P</v>
      </c>
      <c r="I211" s="103" t="str">
        <f ca="1">IFERROR(__xludf.DUMMYFUNCTION("""COMPUTED_VALUE"""),"S")</f>
        <v>S</v>
      </c>
      <c r="J211" s="103" t="str">
        <f ca="1">IFERROR(__xludf.DUMMYFUNCTION("""COMPUTED_VALUE"""),"FPF")</f>
        <v>FPF</v>
      </c>
      <c r="K211" s="103" t="str">
        <f ca="1">IFERROR(__xludf.DUMMYFUNCTION("""COMPUTED_VALUE"""),"U")</f>
        <v>U</v>
      </c>
      <c r="L211" s="103"/>
      <c r="M211" s="103"/>
      <c r="N211" s="103">
        <f ca="1">IFERROR(__xludf.DUMMYFUNCTION("""COMPUTED_VALUE"""),5)</f>
        <v>5</v>
      </c>
      <c r="O211" s="103">
        <f ca="1">IFERROR(__xludf.DUMMYFUNCTION("""COMPUTED_VALUE"""),0)</f>
        <v>0</v>
      </c>
      <c r="P211" s="103">
        <f ca="1">IFERROR(__xludf.DUMMYFUNCTION("""COMPUTED_VALUE"""),0)</f>
        <v>0</v>
      </c>
      <c r="Q211" s="103">
        <f ca="1">IFERROR(__xludf.DUMMYFUNCTION("""COMPUTED_VALUE"""),1)</f>
        <v>1</v>
      </c>
      <c r="R211" s="103">
        <f ca="1">IFERROR(__xludf.DUMMYFUNCTION("""COMPUTED_VALUE"""),1)</f>
        <v>1</v>
      </c>
      <c r="S211" s="103" t="str">
        <f ca="1">IFERROR(__xludf.DUMMYFUNCTION("""COMPUTED_VALUE"""),"N")</f>
        <v>N</v>
      </c>
      <c r="T211" s="103">
        <f ca="1">IFERROR(__xludf.DUMMYFUNCTION("""COMPUTED_VALUE"""),1)</f>
        <v>1</v>
      </c>
      <c r="U211" s="103">
        <f ca="1">IFERROR(__xludf.DUMMYFUNCTION("""COMPUTED_VALUE"""),2)</f>
        <v>2</v>
      </c>
      <c r="V211" s="103"/>
      <c r="W211" s="103"/>
      <c r="X211" s="103"/>
      <c r="Y211" s="103"/>
      <c r="Z211" s="103"/>
      <c r="AA211" s="103"/>
      <c r="AB211" s="103"/>
      <c r="AC211" s="103"/>
      <c r="AD211" s="103">
        <f ca="1">IFERROR(__xludf.DUMMYFUNCTION("""COMPUTED_VALUE"""),83)</f>
        <v>83</v>
      </c>
      <c r="AE211" s="103">
        <f ca="1">IFERROR(__xludf.DUMMYFUNCTION("""COMPUTED_VALUE"""),42)</f>
        <v>42</v>
      </c>
      <c r="AF211" s="103">
        <f ca="1">IFERROR(__xludf.DUMMYFUNCTION("""COMPUTED_VALUE"""),300)</f>
        <v>300</v>
      </c>
      <c r="AG211" s="103">
        <f ca="1">IFERROR(__xludf.DUMMYFUNCTION("""COMPUTED_VALUE"""),7)</f>
        <v>7</v>
      </c>
      <c r="AH211" s="103">
        <f ca="1">IFERROR(__xludf.DUMMYFUNCTION("""COMPUTED_VALUE"""),24)</f>
        <v>24</v>
      </c>
      <c r="AI211" s="103">
        <f ca="1">IFERROR(__xludf.DUMMYFUNCTION("""COMPUTED_VALUE"""),910)</f>
        <v>910</v>
      </c>
      <c r="AJ211" s="103" t="str">
        <f ca="1">IFERROR(__xludf.DUMMYFUNCTION("""COMPUTED_VALUE"""),"MORS")</f>
        <v>MORS</v>
      </c>
      <c r="AK211" s="103">
        <f ca="1">IFERROR(__xludf.DUMMYFUNCTION("""COMPUTED_VALUE"""),15)</f>
        <v>15</v>
      </c>
      <c r="AL211" s="103"/>
      <c r="AM211" s="103"/>
      <c r="AN211" s="103"/>
      <c r="AO211" s="57">
        <f ca="1">IFERROR(__xludf.DUMMYFUNCTION("""COMPUTED_VALUE"""),2)</f>
        <v>2</v>
      </c>
      <c r="AP211" s="103">
        <f ca="1">IFERROR(__xludf.DUMMYFUNCTION("""COMPUTED_VALUE"""),1)</f>
        <v>1</v>
      </c>
    </row>
    <row r="212" spans="1:42">
      <c r="A212" s="103">
        <f ca="1">IFERROR(__xludf.DUMMYFUNCTION("""COMPUTED_VALUE"""),13)</f>
        <v>13</v>
      </c>
      <c r="B212" s="103" t="str">
        <f ca="1">IFERROR(__xludf.DUMMYFUNCTION("""COMPUTED_VALUE"""),"JHT")</f>
        <v>JHT</v>
      </c>
      <c r="C212" s="103" t="str">
        <f ca="1">IFERROR(__xludf.DUMMYFUNCTION("""COMPUTED_VALUE"""),"R")</f>
        <v>R</v>
      </c>
      <c r="D212" s="103">
        <f ca="1">IFERROR(__xludf.DUMMYFUNCTION("""COMPUTED_VALUE"""),288029950)</f>
        <v>288029950</v>
      </c>
      <c r="E212" s="103" t="str">
        <f ca="1">IFERROR(__xludf.DUMMYFUNCTION("""COMPUTED_VALUE"""),"Black-capped Chickadee")</f>
        <v>Black-capped Chickadee</v>
      </c>
      <c r="F212" s="103" t="str">
        <f ca="1">IFERROR(__xludf.DUMMYFUNCTION("""COMPUTED_VALUE"""),"BCCH")</f>
        <v>BCCH</v>
      </c>
      <c r="G212" s="103">
        <f ca="1">IFERROR(__xludf.DUMMYFUNCTION("""COMPUTED_VALUE"""),1)</f>
        <v>1</v>
      </c>
      <c r="H212" s="103" t="str">
        <f ca="1">IFERROR(__xludf.DUMMYFUNCTION("""COMPUTED_VALUE"""),"S")</f>
        <v>S</v>
      </c>
      <c r="I212" s="103"/>
      <c r="J212" s="103" t="str">
        <f ca="1">IFERROR(__xludf.DUMMYFUNCTION("""COMPUTED_VALUE"""),"UAJ")</f>
        <v>UAJ</v>
      </c>
      <c r="K212" s="103" t="str">
        <f ca="1">IFERROR(__xludf.DUMMYFUNCTION("""COMPUTED_VALUE"""),"U")</f>
        <v>U</v>
      </c>
      <c r="L212" s="103"/>
      <c r="M212" s="103"/>
      <c r="N212" s="103">
        <f ca="1">IFERROR(__xludf.DUMMYFUNCTION("""COMPUTED_VALUE"""),6)</f>
        <v>6</v>
      </c>
      <c r="O212" s="103">
        <f ca="1">IFERROR(__xludf.DUMMYFUNCTION("""COMPUTED_VALUE"""),0)</f>
        <v>0</v>
      </c>
      <c r="P212" s="103">
        <f ca="1">IFERROR(__xludf.DUMMYFUNCTION("""COMPUTED_VALUE"""),0)</f>
        <v>0</v>
      </c>
      <c r="Q212" s="103">
        <f ca="1">IFERROR(__xludf.DUMMYFUNCTION("""COMPUTED_VALUE"""),1)</f>
        <v>1</v>
      </c>
      <c r="R212" s="103">
        <f ca="1">IFERROR(__xludf.DUMMYFUNCTION("""COMPUTED_VALUE"""),1)</f>
        <v>1</v>
      </c>
      <c r="S212" s="103" t="str">
        <f ca="1">IFERROR(__xludf.DUMMYFUNCTION("""COMPUTED_VALUE"""),"N")</f>
        <v>N</v>
      </c>
      <c r="T212" s="103">
        <f ca="1">IFERROR(__xludf.DUMMYFUNCTION("""COMPUTED_VALUE"""),1)</f>
        <v>1</v>
      </c>
      <c r="U212" s="103"/>
      <c r="V212" s="103"/>
      <c r="W212" s="103"/>
      <c r="X212" s="103"/>
      <c r="Y212" s="103"/>
      <c r="Z212" s="103"/>
      <c r="AA212" s="103" t="str">
        <f ca="1">IFERROR(__xludf.DUMMYFUNCTION("""COMPUTED_VALUE"""),"R")</f>
        <v>R</v>
      </c>
      <c r="AB212" s="103"/>
      <c r="AC212" s="103"/>
      <c r="AD212" s="103">
        <f ca="1">IFERROR(__xludf.DUMMYFUNCTION("""COMPUTED_VALUE"""),61)</f>
        <v>61</v>
      </c>
      <c r="AE212" s="103">
        <f ca="1">IFERROR(__xludf.DUMMYFUNCTION("""COMPUTED_VALUE"""),9.8)</f>
        <v>9.8000000000000007</v>
      </c>
      <c r="AF212" s="103">
        <f ca="1">IFERROR(__xludf.DUMMYFUNCTION("""COMPUTED_VALUE"""),300)</f>
        <v>300</v>
      </c>
      <c r="AG212" s="103">
        <f ca="1">IFERROR(__xludf.DUMMYFUNCTION("""COMPUTED_VALUE"""),7)</f>
        <v>7</v>
      </c>
      <c r="AH212" s="103">
        <f ca="1">IFERROR(__xludf.DUMMYFUNCTION("""COMPUTED_VALUE"""),24)</f>
        <v>24</v>
      </c>
      <c r="AI212" s="103">
        <f ca="1">IFERROR(__xludf.DUMMYFUNCTION("""COMPUTED_VALUE"""),910)</f>
        <v>910</v>
      </c>
      <c r="AJ212" s="103" t="str">
        <f ca="1">IFERROR(__xludf.DUMMYFUNCTION("""COMPUTED_VALUE"""),"MORS")</f>
        <v>MORS</v>
      </c>
      <c r="AK212" s="103">
        <f ca="1">IFERROR(__xludf.DUMMYFUNCTION("""COMPUTED_VALUE"""),14)</f>
        <v>14</v>
      </c>
      <c r="AL212" s="103"/>
      <c r="AM212" s="103">
        <f ca="1">IFERROR(__xludf.DUMMYFUNCTION("""COMPUTED_VALUE"""),2)</f>
        <v>2</v>
      </c>
      <c r="AN212" s="103" t="str">
        <f ca="1">IFERROR(__xludf.DUMMYFUNCTION("""COMPUTED_VALUE"""),"Likely Sy. Skull of 6. Outer rects has no white wrapping around.")</f>
        <v>Likely Sy. Skull of 6. Outer rects has no white wrapping around.</v>
      </c>
      <c r="AO212" s="57" t="str">
        <f ca="1">IFERROR(__xludf.DUMMYFUNCTION("""COMPUTED_VALUE"""),"R")</f>
        <v>R</v>
      </c>
      <c r="AP212" s="103">
        <f ca="1">IFERROR(__xludf.DUMMYFUNCTION("""COMPUTED_VALUE"""),1)</f>
        <v>1</v>
      </c>
    </row>
    <row r="213" spans="1:42">
      <c r="A213" s="103">
        <f ca="1">IFERROR(__xludf.DUMMYFUNCTION("""COMPUTED_VALUE"""),14)</f>
        <v>14</v>
      </c>
      <c r="B213" s="103" t="str">
        <f ca="1">IFERROR(__xludf.DUMMYFUNCTION("""COMPUTED_VALUE"""),"JHT")</f>
        <v>JHT</v>
      </c>
      <c r="C213" s="103" t="str">
        <f ca="1">IFERROR(__xludf.DUMMYFUNCTION("""COMPUTED_VALUE"""),"N")</f>
        <v>N</v>
      </c>
      <c r="D213" s="103">
        <f ca="1">IFERROR(__xludf.DUMMYFUNCTION("""COMPUTED_VALUE"""),172176264)</f>
        <v>172176264</v>
      </c>
      <c r="E213" s="103" t="str">
        <f ca="1">IFERROR(__xludf.DUMMYFUNCTION("""COMPUTED_VALUE"""),"Song Sparrow")</f>
        <v>Song Sparrow</v>
      </c>
      <c r="F213" s="103" t="str">
        <f ca="1">IFERROR(__xludf.DUMMYFUNCTION("""COMPUTED_VALUE"""),"SOSP")</f>
        <v>SOSP</v>
      </c>
      <c r="G213" s="103">
        <f ca="1">IFERROR(__xludf.DUMMYFUNCTION("""COMPUTED_VALUE"""),2)</f>
        <v>2</v>
      </c>
      <c r="H213" s="103" t="str">
        <f ca="1">IFERROR(__xludf.DUMMYFUNCTION("""COMPUTED_VALUE"""),"S")</f>
        <v>S</v>
      </c>
      <c r="I213" s="103" t="str">
        <f ca="1">IFERROR(__xludf.DUMMYFUNCTION("""COMPUTED_VALUE"""),"P")</f>
        <v>P</v>
      </c>
      <c r="J213" s="103" t="str">
        <f ca="1">IFERROR(__xludf.DUMMYFUNCTION("""COMPUTED_VALUE"""),"PFJ")</f>
        <v>PFJ</v>
      </c>
      <c r="K213" s="103" t="str">
        <f ca="1">IFERROR(__xludf.DUMMYFUNCTION("""COMPUTED_VALUE"""),"U")</f>
        <v>U</v>
      </c>
      <c r="L213" s="103"/>
      <c r="M213" s="103"/>
      <c r="N213" s="103">
        <f ca="1">IFERROR(__xludf.DUMMYFUNCTION("""COMPUTED_VALUE"""),5)</f>
        <v>5</v>
      </c>
      <c r="O213" s="103">
        <f ca="1">IFERROR(__xludf.DUMMYFUNCTION("""COMPUTED_VALUE"""),0)</f>
        <v>0</v>
      </c>
      <c r="P213" s="103">
        <f ca="1">IFERROR(__xludf.DUMMYFUNCTION("""COMPUTED_VALUE"""),0)</f>
        <v>0</v>
      </c>
      <c r="Q213" s="103">
        <f ca="1">IFERROR(__xludf.DUMMYFUNCTION("""COMPUTED_VALUE"""),1)</f>
        <v>1</v>
      </c>
      <c r="R213" s="103">
        <f ca="1">IFERROR(__xludf.DUMMYFUNCTION("""COMPUTED_VALUE"""),0)</f>
        <v>0</v>
      </c>
      <c r="S213" s="103" t="str">
        <f ca="1">IFERROR(__xludf.DUMMYFUNCTION("""COMPUTED_VALUE"""),"N")</f>
        <v>N</v>
      </c>
      <c r="T213" s="103">
        <f ca="1">IFERROR(__xludf.DUMMYFUNCTION("""COMPUTED_VALUE"""),1)</f>
        <v>1</v>
      </c>
      <c r="U213" s="103">
        <f ca="1">IFERROR(__xludf.DUMMYFUNCTION("""COMPUTED_VALUE"""),3)</f>
        <v>3</v>
      </c>
      <c r="V213" s="103"/>
      <c r="W213" s="103"/>
      <c r="X213" s="103"/>
      <c r="Y213" s="103"/>
      <c r="Z213" s="103"/>
      <c r="AA213" s="103"/>
      <c r="AB213" s="103"/>
      <c r="AC213" s="103"/>
      <c r="AD213" s="103">
        <f ca="1">IFERROR(__xludf.DUMMYFUNCTION("""COMPUTED_VALUE"""),66)</f>
        <v>66</v>
      </c>
      <c r="AE213" s="103">
        <f ca="1">IFERROR(__xludf.DUMMYFUNCTION("""COMPUTED_VALUE"""),22.8)</f>
        <v>22.8</v>
      </c>
      <c r="AF213" s="103">
        <f ca="1">IFERROR(__xludf.DUMMYFUNCTION("""COMPUTED_VALUE"""),300)</f>
        <v>300</v>
      </c>
      <c r="AG213" s="103">
        <f ca="1">IFERROR(__xludf.DUMMYFUNCTION("""COMPUTED_VALUE"""),7)</f>
        <v>7</v>
      </c>
      <c r="AH213" s="103">
        <f ca="1">IFERROR(__xludf.DUMMYFUNCTION("""COMPUTED_VALUE"""),24)</f>
        <v>24</v>
      </c>
      <c r="AI213" s="103">
        <f ca="1">IFERROR(__xludf.DUMMYFUNCTION("""COMPUTED_VALUE"""),950)</f>
        <v>950</v>
      </c>
      <c r="AJ213" s="103" t="str">
        <f ca="1">IFERROR(__xludf.DUMMYFUNCTION("""COMPUTED_VALUE"""),"MORS")</f>
        <v>MORS</v>
      </c>
      <c r="AK213" s="103">
        <f ca="1">IFERROR(__xludf.DUMMYFUNCTION("""COMPUTED_VALUE"""),14)</f>
        <v>14</v>
      </c>
      <c r="AL213" s="103"/>
      <c r="AM213" s="103"/>
      <c r="AN213" s="103"/>
      <c r="AO213" s="57" t="str">
        <f ca="1">IFERROR(__xludf.DUMMYFUNCTION("""COMPUTED_VALUE"""),"1B")</f>
        <v>1B</v>
      </c>
      <c r="AP213" s="103">
        <f ca="1">IFERROR(__xludf.DUMMYFUNCTION("""COMPUTED_VALUE"""),1)</f>
        <v>1</v>
      </c>
    </row>
    <row r="214" spans="1:42">
      <c r="A214" s="103">
        <f ca="1">IFERROR(__xludf.DUMMYFUNCTION("""COMPUTED_VALUE"""),15)</f>
        <v>15</v>
      </c>
      <c r="B214" s="103" t="str">
        <f ca="1">IFERROR(__xludf.DUMMYFUNCTION("""COMPUTED_VALUE"""),"JHT")</f>
        <v>JHT</v>
      </c>
      <c r="C214" s="103" t="str">
        <f ca="1">IFERROR(__xludf.DUMMYFUNCTION("""COMPUTED_VALUE"""),"R")</f>
        <v>R</v>
      </c>
      <c r="D214" s="103">
        <f ca="1">IFERROR(__xludf.DUMMYFUNCTION("""COMPUTED_VALUE"""),290077833)</f>
        <v>290077833</v>
      </c>
      <c r="E214" s="103" t="str">
        <f ca="1">IFERROR(__xludf.DUMMYFUNCTION("""COMPUTED_VALUE"""),"Pacific-slope Flycatcher")</f>
        <v>Pacific-slope Flycatcher</v>
      </c>
      <c r="F214" s="103" t="str">
        <f ca="1">IFERROR(__xludf.DUMMYFUNCTION("""COMPUTED_VALUE"""),"PSFL")</f>
        <v>PSFL</v>
      </c>
      <c r="G214" s="103">
        <f ca="1">IFERROR(__xludf.DUMMYFUNCTION("""COMPUTED_VALUE"""),1)</f>
        <v>1</v>
      </c>
      <c r="H214" s="103" t="str">
        <f ca="1">IFERROR(__xludf.DUMMYFUNCTION("""COMPUTED_VALUE"""),"S")</f>
        <v>S</v>
      </c>
      <c r="I214" s="103"/>
      <c r="J214" s="103" t="str">
        <f ca="1">IFERROR(__xludf.DUMMYFUNCTION("""COMPUTED_VALUE"""),"UAJ")</f>
        <v>UAJ</v>
      </c>
      <c r="K214" s="103" t="str">
        <f ca="1">IFERROR(__xludf.DUMMYFUNCTION("""COMPUTED_VALUE"""),"U")</f>
        <v>U</v>
      </c>
      <c r="L214" s="103"/>
      <c r="M214" s="103"/>
      <c r="N214" s="103">
        <f ca="1">IFERROR(__xludf.DUMMYFUNCTION("""COMPUTED_VALUE"""),6)</f>
        <v>6</v>
      </c>
      <c r="O214" s="103">
        <f ca="1">IFERROR(__xludf.DUMMYFUNCTION("""COMPUTED_VALUE"""),0)</f>
        <v>0</v>
      </c>
      <c r="P214" s="103">
        <f ca="1">IFERROR(__xludf.DUMMYFUNCTION("""COMPUTED_VALUE"""),0)</f>
        <v>0</v>
      </c>
      <c r="Q214" s="103">
        <f ca="1">IFERROR(__xludf.DUMMYFUNCTION("""COMPUTED_VALUE"""),0)</f>
        <v>0</v>
      </c>
      <c r="R214" s="103">
        <f ca="1">IFERROR(__xludf.DUMMYFUNCTION("""COMPUTED_VALUE"""),0)</f>
        <v>0</v>
      </c>
      <c r="S214" s="103" t="str">
        <f ca="1">IFERROR(__xludf.DUMMYFUNCTION("""COMPUTED_VALUE"""),"N")</f>
        <v>N</v>
      </c>
      <c r="T214" s="103">
        <f ca="1">IFERROR(__xludf.DUMMYFUNCTION("""COMPUTED_VALUE"""),4)</f>
        <v>4</v>
      </c>
      <c r="U214" s="103"/>
      <c r="V214" s="103"/>
      <c r="W214" s="103"/>
      <c r="X214" s="103"/>
      <c r="Y214" s="103"/>
      <c r="Z214" s="103"/>
      <c r="AA214" s="103"/>
      <c r="AB214" s="103"/>
      <c r="AC214" s="103"/>
      <c r="AD214" s="103">
        <f ca="1">IFERROR(__xludf.DUMMYFUNCTION("""COMPUTED_VALUE"""),65)</f>
        <v>65</v>
      </c>
      <c r="AE214" s="103">
        <f ca="1">IFERROR(__xludf.DUMMYFUNCTION("""COMPUTED_VALUE"""),11.2)</f>
        <v>11.2</v>
      </c>
      <c r="AF214" s="103">
        <f ca="1">IFERROR(__xludf.DUMMYFUNCTION("""COMPUTED_VALUE"""),300)</f>
        <v>300</v>
      </c>
      <c r="AG214" s="103">
        <f ca="1">IFERROR(__xludf.DUMMYFUNCTION("""COMPUTED_VALUE"""),7)</f>
        <v>7</v>
      </c>
      <c r="AH214" s="103">
        <f ca="1">IFERROR(__xludf.DUMMYFUNCTION("""COMPUTED_VALUE"""),24)</f>
        <v>24</v>
      </c>
      <c r="AI214" s="103">
        <f ca="1">IFERROR(__xludf.DUMMYFUNCTION("""COMPUTED_VALUE"""),950)</f>
        <v>950</v>
      </c>
      <c r="AJ214" s="103" t="str">
        <f ca="1">IFERROR(__xludf.DUMMYFUNCTION("""COMPUTED_VALUE"""),"MORS")</f>
        <v>MORS</v>
      </c>
      <c r="AK214" s="103">
        <f ca="1">IFERROR(__xludf.DUMMYFUNCTION("""COMPUTED_VALUE"""),5)</f>
        <v>5</v>
      </c>
      <c r="AL214" s="103"/>
      <c r="AM214" s="103"/>
      <c r="AN214" s="103"/>
      <c r="AO214" s="57" t="str">
        <f ca="1">IFERROR(__xludf.DUMMYFUNCTION("""COMPUTED_VALUE"""),"R")</f>
        <v>R</v>
      </c>
      <c r="AP214" s="103">
        <f ca="1">IFERROR(__xludf.DUMMYFUNCTION("""COMPUTED_VALUE"""),1)</f>
        <v>1</v>
      </c>
    </row>
    <row r="215" spans="1:42">
      <c r="A215" s="103">
        <f ca="1">IFERROR(__xludf.DUMMYFUNCTION("""COMPUTED_VALUE"""),16)</f>
        <v>16</v>
      </c>
      <c r="B215" s="103" t="str">
        <f ca="1">IFERROR(__xludf.DUMMYFUNCTION("""COMPUTED_VALUE"""),"JHT")</f>
        <v>JHT</v>
      </c>
      <c r="C215" s="103" t="str">
        <f ca="1">IFERROR(__xludf.DUMMYFUNCTION("""COMPUTED_VALUE"""),"R")</f>
        <v>R</v>
      </c>
      <c r="D215" s="103"/>
      <c r="E215" s="103" t="str">
        <f ca="1">IFERROR(__xludf.DUMMYFUNCTION("""COMPUTED_VALUE"""),"Bewick's Wren")</f>
        <v>Bewick's Wren</v>
      </c>
      <c r="F215" s="103" t="str">
        <f ca="1">IFERROR(__xludf.DUMMYFUNCTION("""COMPUTED_VALUE"""),"BEWR")</f>
        <v>BEWR</v>
      </c>
      <c r="G215" s="103">
        <f ca="1">IFERROR(__xludf.DUMMYFUNCTION("""COMPUTED_VALUE"""),9)</f>
        <v>9</v>
      </c>
      <c r="H215" s="103"/>
      <c r="I215" s="103"/>
      <c r="J215" s="103"/>
      <c r="K215" s="103" t="str">
        <f ca="1">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 ca="1">IFERROR(__xludf.DUMMYFUNCTION("""COMPUTED_VALUE"""),300)</f>
        <v>300</v>
      </c>
      <c r="AG215" s="103">
        <f ca="1">IFERROR(__xludf.DUMMYFUNCTION("""COMPUTED_VALUE"""),7)</f>
        <v>7</v>
      </c>
      <c r="AH215" s="103">
        <f ca="1">IFERROR(__xludf.DUMMYFUNCTION("""COMPUTED_VALUE"""),24)</f>
        <v>24</v>
      </c>
      <c r="AI215" s="103">
        <f ca="1">IFERROR(__xludf.DUMMYFUNCTION("""COMPUTED_VALUE"""),950)</f>
        <v>950</v>
      </c>
      <c r="AJ215" s="103" t="str">
        <f ca="1">IFERROR(__xludf.DUMMYFUNCTION("""COMPUTED_VALUE"""),"MORS")</f>
        <v>MORS</v>
      </c>
      <c r="AK215" s="103">
        <f ca="1">IFERROR(__xludf.DUMMYFUNCTION("""COMPUTED_VALUE"""),6)</f>
        <v>6</v>
      </c>
      <c r="AL215" s="103"/>
      <c r="AM215" s="103">
        <f ca="1">IFERROR(__xludf.DUMMYFUNCTION("""COMPUTED_VALUE"""),3)</f>
        <v>3</v>
      </c>
      <c r="AN215" s="103" t="str">
        <f ca="1">IFERROR(__xludf.DUMMYFUNCTION("""COMPUTED_VALUE"""),"Escaped from bag. No data collected.")</f>
        <v>Escaped from bag. No data collected.</v>
      </c>
      <c r="AO215" s="57" t="str">
        <f ca="1">IFERROR(__xludf.DUMMYFUNCTION("""COMPUTED_VALUE"""),"R")</f>
        <v>R</v>
      </c>
      <c r="AP215" s="103">
        <f ca="1">IFERROR(__xludf.DUMMYFUNCTION("""COMPUTED_VALUE"""),1)</f>
        <v>1</v>
      </c>
    </row>
    <row r="216" spans="1:42">
      <c r="A216" s="103">
        <f ca="1">IFERROR(__xludf.DUMMYFUNCTION("""COMPUTED_VALUE"""),17)</f>
        <v>17</v>
      </c>
      <c r="B216" s="103" t="str">
        <f ca="1">IFERROR(__xludf.DUMMYFUNCTION("""COMPUTED_VALUE"""),"JHT")</f>
        <v>JHT</v>
      </c>
      <c r="C216" s="103" t="str">
        <f ca="1">IFERROR(__xludf.DUMMYFUNCTION("""COMPUTED_VALUE"""),"N")</f>
        <v>N</v>
      </c>
      <c r="D216" s="103">
        <f ca="1">IFERROR(__xludf.DUMMYFUNCTION("""COMPUTED_VALUE"""),288029974)</f>
        <v>288029974</v>
      </c>
      <c r="E216" s="103" t="str">
        <f ca="1">IFERROR(__xludf.DUMMYFUNCTION("""COMPUTED_VALUE"""),"Black-capped Chickadee")</f>
        <v>Black-capped Chickadee</v>
      </c>
      <c r="F216" s="103" t="str">
        <f ca="1">IFERROR(__xludf.DUMMYFUNCTION("""COMPUTED_VALUE"""),"BCCH")</f>
        <v>BCCH</v>
      </c>
      <c r="G216" s="103">
        <f ca="1">IFERROR(__xludf.DUMMYFUNCTION("""COMPUTED_VALUE"""),1)</f>
        <v>1</v>
      </c>
      <c r="H216" s="103" t="str">
        <f ca="1">IFERROR(__xludf.DUMMYFUNCTION("""COMPUTED_VALUE"""),"S")</f>
        <v>S</v>
      </c>
      <c r="I216" s="103"/>
      <c r="J216" s="103" t="str">
        <f ca="1">IFERROR(__xludf.DUMMYFUNCTION("""COMPUTED_VALUE"""),"UAJ")</f>
        <v>UAJ</v>
      </c>
      <c r="K216" s="103" t="str">
        <f ca="1">IFERROR(__xludf.DUMMYFUNCTION("""COMPUTED_VALUE"""),"U")</f>
        <v>U</v>
      </c>
      <c r="L216" s="103"/>
      <c r="M216" s="103"/>
      <c r="N216" s="103">
        <f ca="1">IFERROR(__xludf.DUMMYFUNCTION("""COMPUTED_VALUE"""),6)</f>
        <v>6</v>
      </c>
      <c r="O216" s="103">
        <f ca="1">IFERROR(__xludf.DUMMYFUNCTION("""COMPUTED_VALUE"""),0)</f>
        <v>0</v>
      </c>
      <c r="P216" s="103">
        <f ca="1">IFERROR(__xludf.DUMMYFUNCTION("""COMPUTED_VALUE"""),0)</f>
        <v>0</v>
      </c>
      <c r="Q216" s="103">
        <f ca="1">IFERROR(__xludf.DUMMYFUNCTION("""COMPUTED_VALUE"""),2)</f>
        <v>2</v>
      </c>
      <c r="R216" s="103">
        <f ca="1">IFERROR(__xludf.DUMMYFUNCTION("""COMPUTED_VALUE"""),4)</f>
        <v>4</v>
      </c>
      <c r="S216" s="103" t="str">
        <f ca="1">IFERROR(__xludf.DUMMYFUNCTION("""COMPUTED_VALUE"""),"N")</f>
        <v>N</v>
      </c>
      <c r="T216" s="103">
        <f ca="1">IFERROR(__xludf.DUMMYFUNCTION("""COMPUTED_VALUE"""),1)</f>
        <v>1</v>
      </c>
      <c r="U216" s="103"/>
      <c r="V216" s="103"/>
      <c r="W216" s="103"/>
      <c r="X216" s="103"/>
      <c r="Y216" s="103"/>
      <c r="Z216" s="103"/>
      <c r="AA216" s="103"/>
      <c r="AB216" s="103"/>
      <c r="AC216" s="103"/>
      <c r="AD216" s="103">
        <f ca="1">IFERROR(__xludf.DUMMYFUNCTION("""COMPUTED_VALUE"""),59)</f>
        <v>59</v>
      </c>
      <c r="AE216" s="103">
        <f ca="1">IFERROR(__xludf.DUMMYFUNCTION("""COMPUTED_VALUE"""),10.5)</f>
        <v>10.5</v>
      </c>
      <c r="AF216" s="103">
        <f ca="1">IFERROR(__xludf.DUMMYFUNCTION("""COMPUTED_VALUE"""),300)</f>
        <v>300</v>
      </c>
      <c r="AG216" s="103">
        <f ca="1">IFERROR(__xludf.DUMMYFUNCTION("""COMPUTED_VALUE"""),7)</f>
        <v>7</v>
      </c>
      <c r="AH216" s="103">
        <f ca="1">IFERROR(__xludf.DUMMYFUNCTION("""COMPUTED_VALUE"""),24)</f>
        <v>24</v>
      </c>
      <c r="AI216" s="103">
        <f ca="1">IFERROR(__xludf.DUMMYFUNCTION("""COMPUTED_VALUE"""),1030)</f>
        <v>1030</v>
      </c>
      <c r="AJ216" s="103" t="str">
        <f ca="1">IFERROR(__xludf.DUMMYFUNCTION("""COMPUTED_VALUE"""),"MORS")</f>
        <v>MORS</v>
      </c>
      <c r="AK216" s="103">
        <f ca="1">IFERROR(__xludf.DUMMYFUNCTION("""COMPUTED_VALUE"""),5)</f>
        <v>5</v>
      </c>
      <c r="AL216" s="103"/>
      <c r="AM216" s="103">
        <f ca="1">IFERROR(__xludf.DUMMYFUNCTION("""COMPUTED_VALUE"""),4)</f>
        <v>4</v>
      </c>
      <c r="AN216" s="103"/>
      <c r="AO216" s="57">
        <f ca="1">IFERROR(__xludf.DUMMYFUNCTION("""COMPUTED_VALUE"""),0)</f>
        <v>0</v>
      </c>
      <c r="AP216" s="103">
        <f ca="1">IFERROR(__xludf.DUMMYFUNCTION("""COMPUTED_VALUE"""),1)</f>
        <v>1</v>
      </c>
    </row>
    <row r="217" spans="1:42">
      <c r="A217" s="103">
        <f ca="1">IFERROR(__xludf.DUMMYFUNCTION("""COMPUTED_VALUE"""),1)</f>
        <v>1</v>
      </c>
      <c r="B217" s="103" t="str">
        <f ca="1">IFERROR(__xludf.DUMMYFUNCTION("""COMPUTED_VALUE"""),"JSM")</f>
        <v>JSM</v>
      </c>
      <c r="C217" s="103" t="str">
        <f ca="1">IFERROR(__xludf.DUMMYFUNCTION("""COMPUTED_VALUE"""),"N")</f>
        <v>N</v>
      </c>
      <c r="D217" s="103">
        <f ca="1">IFERROR(__xludf.DUMMYFUNCTION("""COMPUTED_VALUE"""),135291878)</f>
        <v>135291878</v>
      </c>
      <c r="E217" s="103" t="str">
        <f ca="1">IFERROR(__xludf.DUMMYFUNCTION("""COMPUTED_VALUE"""),"Spotted Towhee")</f>
        <v>Spotted Towhee</v>
      </c>
      <c r="F217" s="103" t="str">
        <f ca="1">IFERROR(__xludf.DUMMYFUNCTION("""COMPUTED_VALUE"""),"SPTO")</f>
        <v>SPTO</v>
      </c>
      <c r="G217" s="103">
        <f ca="1">IFERROR(__xludf.DUMMYFUNCTION("""COMPUTED_VALUE"""),2)</f>
        <v>2</v>
      </c>
      <c r="H217" s="103" t="str">
        <f ca="1">IFERROR(__xludf.DUMMYFUNCTION("""COMPUTED_VALUE"""),"J")</f>
        <v>J</v>
      </c>
      <c r="I217" s="103"/>
      <c r="J217" s="103" t="str">
        <f ca="1">IFERROR(__xludf.DUMMYFUNCTION("""COMPUTED_VALUE"""),"FCJ")</f>
        <v>FCJ</v>
      </c>
      <c r="K217" s="103" t="str">
        <f ca="1">IFERROR(__xludf.DUMMYFUNCTION("""COMPUTED_VALUE"""),"U")</f>
        <v>U</v>
      </c>
      <c r="L217" s="103"/>
      <c r="M217" s="103"/>
      <c r="N217" s="103"/>
      <c r="O217" s="103">
        <f ca="1">IFERROR(__xludf.DUMMYFUNCTION("""COMPUTED_VALUE"""),0)</f>
        <v>0</v>
      </c>
      <c r="P217" s="103">
        <f ca="1">IFERROR(__xludf.DUMMYFUNCTION("""COMPUTED_VALUE"""),0)</f>
        <v>0</v>
      </c>
      <c r="Q217" s="103">
        <f ca="1">IFERROR(__xludf.DUMMYFUNCTION("""COMPUTED_VALUE"""),1)</f>
        <v>1</v>
      </c>
      <c r="R217" s="103">
        <f ca="1">IFERROR(__xludf.DUMMYFUNCTION("""COMPUTED_VALUE"""),0)</f>
        <v>0</v>
      </c>
      <c r="S217" s="103" t="str">
        <f ca="1">IFERROR(__xludf.DUMMYFUNCTION("""COMPUTED_VALUE"""),"N")</f>
        <v>N</v>
      </c>
      <c r="T217" s="103">
        <f ca="1">IFERROR(__xludf.DUMMYFUNCTION("""COMPUTED_VALUE"""),1)</f>
        <v>1</v>
      </c>
      <c r="U217" s="103">
        <f ca="1">IFERROR(__xludf.DUMMYFUNCTION("""COMPUTED_VALUE"""),3)</f>
        <v>3</v>
      </c>
      <c r="V217" s="103" t="str">
        <f ca="1">IFERROR(__xludf.DUMMYFUNCTION("""COMPUTED_VALUE"""),"J")</f>
        <v>J</v>
      </c>
      <c r="W217" s="103"/>
      <c r="X217" s="103"/>
      <c r="Y217" s="103"/>
      <c r="Z217" s="103"/>
      <c r="AA217" s="103"/>
      <c r="AB217" s="103" t="str">
        <f ca="1">IFERROR(__xludf.DUMMYFUNCTION("""COMPUTED_VALUE"""),"J")</f>
        <v>J</v>
      </c>
      <c r="AC217" s="103"/>
      <c r="AD217" s="103">
        <f ca="1">IFERROR(__xludf.DUMMYFUNCTION("""COMPUTED_VALUE"""),82)</f>
        <v>82</v>
      </c>
      <c r="AE217" s="103">
        <f ca="1">IFERROR(__xludf.DUMMYFUNCTION("""COMPUTED_VALUE"""),38.9)</f>
        <v>38.9</v>
      </c>
      <c r="AF217" s="103">
        <f ca="1">IFERROR(__xludf.DUMMYFUNCTION("""COMPUTED_VALUE"""),300)</f>
        <v>300</v>
      </c>
      <c r="AG217" s="103">
        <f ca="1">IFERROR(__xludf.DUMMYFUNCTION("""COMPUTED_VALUE"""),7)</f>
        <v>7</v>
      </c>
      <c r="AH217" s="103">
        <f ca="1">IFERROR(__xludf.DUMMYFUNCTION("""COMPUTED_VALUE"""),24)</f>
        <v>24</v>
      </c>
      <c r="AI217" s="103">
        <f ca="1">IFERROR(__xludf.DUMMYFUNCTION("""COMPUTED_VALUE"""),620)</f>
        <v>620</v>
      </c>
      <c r="AJ217" s="103" t="str">
        <f ca="1">IFERROR(__xludf.DUMMYFUNCTION("""COMPUTED_VALUE"""),"MORS")</f>
        <v>MORS</v>
      </c>
      <c r="AK217" s="103">
        <f ca="1">IFERROR(__xludf.DUMMYFUNCTION("""COMPUTED_VALUE"""),15)</f>
        <v>15</v>
      </c>
      <c r="AL217" s="103"/>
      <c r="AM217" s="103">
        <f ca="1">IFERROR(__xludf.DUMMYFUNCTION("""COMPUTED_VALUE"""),1)</f>
        <v>1</v>
      </c>
      <c r="AN217" s="103" t="str">
        <f ca="1">IFERROR(__xludf.DUMMYFUNCTION("""COMPUTED_VALUE"""),"White on R6 17mm, R5 7mm")</f>
        <v>White on R6 17mm, R5 7mm</v>
      </c>
      <c r="AO217" s="57">
        <f ca="1">IFERROR(__xludf.DUMMYFUNCTION("""COMPUTED_VALUE"""),2)</f>
        <v>2</v>
      </c>
      <c r="AP217" s="103">
        <f ca="1">IFERROR(__xludf.DUMMYFUNCTION("""COMPUTED_VALUE"""),2)</f>
        <v>2</v>
      </c>
    </row>
    <row r="218" spans="1:42">
      <c r="A218" s="103">
        <f ca="1">IFERROR(__xludf.DUMMYFUNCTION("""COMPUTED_VALUE"""),2)</f>
        <v>2</v>
      </c>
      <c r="B218" s="103" t="str">
        <f ca="1">IFERROR(__xludf.DUMMYFUNCTION("""COMPUTED_VALUE"""),"JSM")</f>
        <v>JSM</v>
      </c>
      <c r="C218" s="103" t="str">
        <f ca="1">IFERROR(__xludf.DUMMYFUNCTION("""COMPUTED_VALUE"""),"N")</f>
        <v>N</v>
      </c>
      <c r="D218" s="103">
        <f ca="1">IFERROR(__xludf.DUMMYFUNCTION("""COMPUTED_VALUE"""),172176255)</f>
        <v>172176255</v>
      </c>
      <c r="E218" s="103" t="str">
        <f ca="1">IFERROR(__xludf.DUMMYFUNCTION("""COMPUTED_VALUE"""),"Song Sparrow")</f>
        <v>Song Sparrow</v>
      </c>
      <c r="F218" s="103" t="str">
        <f ca="1">IFERROR(__xludf.DUMMYFUNCTION("""COMPUTED_VALUE"""),"SOSP")</f>
        <v>SOSP</v>
      </c>
      <c r="G218" s="103">
        <f ca="1">IFERROR(__xludf.DUMMYFUNCTION("""COMPUTED_VALUE"""),2)</f>
        <v>2</v>
      </c>
      <c r="H218" s="103" t="str">
        <f ca="1">IFERROR(__xludf.DUMMYFUNCTION("""COMPUTED_VALUE"""),"J")</f>
        <v>J</v>
      </c>
      <c r="I218" s="103"/>
      <c r="J218" s="103" t="str">
        <f ca="1">IFERROR(__xludf.DUMMYFUNCTION("""COMPUTED_VALUE"""),"FCJ")</f>
        <v>FCJ</v>
      </c>
      <c r="K218" s="103" t="str">
        <f ca="1">IFERROR(__xludf.DUMMYFUNCTION("""COMPUTED_VALUE"""),"U")</f>
        <v>U</v>
      </c>
      <c r="L218" s="103"/>
      <c r="M218" s="103"/>
      <c r="N218" s="103"/>
      <c r="O218" s="103">
        <f ca="1">IFERROR(__xludf.DUMMYFUNCTION("""COMPUTED_VALUE"""),0)</f>
        <v>0</v>
      </c>
      <c r="P218" s="103">
        <f ca="1">IFERROR(__xludf.DUMMYFUNCTION("""COMPUTED_VALUE"""),0)</f>
        <v>0</v>
      </c>
      <c r="Q218" s="103">
        <f ca="1">IFERROR(__xludf.DUMMYFUNCTION("""COMPUTED_VALUE"""),0)</f>
        <v>0</v>
      </c>
      <c r="R218" s="103">
        <f ca="1">IFERROR(__xludf.DUMMYFUNCTION("""COMPUTED_VALUE"""),0)</f>
        <v>0</v>
      </c>
      <c r="S218" s="103" t="str">
        <f ca="1">IFERROR(__xludf.DUMMYFUNCTION("""COMPUTED_VALUE"""),"N")</f>
        <v>N</v>
      </c>
      <c r="T218" s="103">
        <f ca="1">IFERROR(__xludf.DUMMYFUNCTION("""COMPUTED_VALUE"""),1)</f>
        <v>1</v>
      </c>
      <c r="U218" s="103">
        <f ca="1">IFERROR(__xludf.DUMMYFUNCTION("""COMPUTED_VALUE"""),3)</f>
        <v>3</v>
      </c>
      <c r="V218" s="103" t="str">
        <f ca="1">IFERROR(__xludf.DUMMYFUNCTION("""COMPUTED_VALUE"""),"J")</f>
        <v>J</v>
      </c>
      <c r="W218" s="103"/>
      <c r="X218" s="103"/>
      <c r="Y218" s="103"/>
      <c r="Z218" s="103" t="str">
        <f ca="1">IFERROR(__xludf.DUMMYFUNCTION("""COMPUTED_VALUE"""),"J")</f>
        <v>J</v>
      </c>
      <c r="AA218" s="103"/>
      <c r="AB218" s="103" t="str">
        <f ca="1">IFERROR(__xludf.DUMMYFUNCTION("""COMPUTED_VALUE"""),"J")</f>
        <v>J</v>
      </c>
      <c r="AC218" s="103"/>
      <c r="AD218" s="103">
        <f ca="1">IFERROR(__xludf.DUMMYFUNCTION("""COMPUTED_VALUE"""),66)</f>
        <v>66</v>
      </c>
      <c r="AE218" s="103">
        <f ca="1">IFERROR(__xludf.DUMMYFUNCTION("""COMPUTED_VALUE"""),21.8)</f>
        <v>21.8</v>
      </c>
      <c r="AF218" s="103">
        <f ca="1">IFERROR(__xludf.DUMMYFUNCTION("""COMPUTED_VALUE"""),300)</f>
        <v>300</v>
      </c>
      <c r="AG218" s="103">
        <f ca="1">IFERROR(__xludf.DUMMYFUNCTION("""COMPUTED_VALUE"""),7)</f>
        <v>7</v>
      </c>
      <c r="AH218" s="103">
        <f ca="1">IFERROR(__xludf.DUMMYFUNCTION("""COMPUTED_VALUE"""),24)</f>
        <v>24</v>
      </c>
      <c r="AI218" s="103">
        <f ca="1">IFERROR(__xludf.DUMMYFUNCTION("""COMPUTED_VALUE"""),7)</f>
        <v>7</v>
      </c>
      <c r="AJ218" s="103" t="str">
        <f ca="1">IFERROR(__xludf.DUMMYFUNCTION("""COMPUTED_VALUE"""),"MORS")</f>
        <v>MORS</v>
      </c>
      <c r="AK218" s="103">
        <f ca="1">IFERROR(__xludf.DUMMYFUNCTION("""COMPUTED_VALUE"""),7)</f>
        <v>7</v>
      </c>
      <c r="AL218" s="103"/>
      <c r="AM218" s="103"/>
      <c r="AN218" s="103"/>
      <c r="AO218" s="57" t="str">
        <f ca="1">IFERROR(__xludf.DUMMYFUNCTION("""COMPUTED_VALUE"""),"1B")</f>
        <v>1B</v>
      </c>
      <c r="AP218" s="103">
        <f ca="1">IFERROR(__xludf.DUMMYFUNCTION("""COMPUTED_VALUE"""),2)</f>
        <v>2</v>
      </c>
    </row>
    <row r="219" spans="1:42">
      <c r="A219" s="103">
        <f ca="1">IFERROR(__xludf.DUMMYFUNCTION("""COMPUTED_VALUE"""),3)</f>
        <v>3</v>
      </c>
      <c r="B219" s="103" t="str">
        <f ca="1">IFERROR(__xludf.DUMMYFUNCTION("""COMPUTED_VALUE"""),"JSM")</f>
        <v>JSM</v>
      </c>
      <c r="C219" s="103" t="str">
        <f ca="1">IFERROR(__xludf.DUMMYFUNCTION("""COMPUTED_VALUE"""),"N")</f>
        <v>N</v>
      </c>
      <c r="D219" s="103">
        <f ca="1">IFERROR(__xludf.DUMMYFUNCTION("""COMPUTED_VALUE"""),172176258)</f>
        <v>172176258</v>
      </c>
      <c r="E219" s="103" t="str">
        <f ca="1">IFERROR(__xludf.DUMMYFUNCTION("""COMPUTED_VALUE"""),"Song Sparrow")</f>
        <v>Song Sparrow</v>
      </c>
      <c r="F219" s="103" t="str">
        <f ca="1">IFERROR(__xludf.DUMMYFUNCTION("""COMPUTED_VALUE"""),"SOSP")</f>
        <v>SOSP</v>
      </c>
      <c r="G219" s="103">
        <f ca="1">IFERROR(__xludf.DUMMYFUNCTION("""COMPUTED_VALUE"""),2)</f>
        <v>2</v>
      </c>
      <c r="H219" s="103" t="str">
        <f ca="1">IFERROR(__xludf.DUMMYFUNCTION("""COMPUTED_VALUE"""),"J")</f>
        <v>J</v>
      </c>
      <c r="I219" s="103"/>
      <c r="J219" s="103" t="str">
        <f ca="1">IFERROR(__xludf.DUMMYFUNCTION("""COMPUTED_VALUE"""),"FCJ")</f>
        <v>FCJ</v>
      </c>
      <c r="K219" s="103" t="str">
        <f ca="1">IFERROR(__xludf.DUMMYFUNCTION("""COMPUTED_VALUE"""),"U")</f>
        <v>U</v>
      </c>
      <c r="L219" s="103"/>
      <c r="M219" s="103"/>
      <c r="N219" s="103"/>
      <c r="O219" s="103">
        <f ca="1">IFERROR(__xludf.DUMMYFUNCTION("""COMPUTED_VALUE"""),0)</f>
        <v>0</v>
      </c>
      <c r="P219" s="103">
        <f ca="1">IFERROR(__xludf.DUMMYFUNCTION("""COMPUTED_VALUE"""),0)</f>
        <v>0</v>
      </c>
      <c r="Q219" s="103">
        <f ca="1">IFERROR(__xludf.DUMMYFUNCTION("""COMPUTED_VALUE"""),0)</f>
        <v>0</v>
      </c>
      <c r="R219" s="103">
        <f ca="1">IFERROR(__xludf.DUMMYFUNCTION("""COMPUTED_VALUE"""),0)</f>
        <v>0</v>
      </c>
      <c r="S219" s="103" t="str">
        <f ca="1">IFERROR(__xludf.DUMMYFUNCTION("""COMPUTED_VALUE"""),"N")</f>
        <v>N</v>
      </c>
      <c r="T219" s="103">
        <f ca="1">IFERROR(__xludf.DUMMYFUNCTION("""COMPUTED_VALUE"""),2)</f>
        <v>2</v>
      </c>
      <c r="U219" s="103">
        <f ca="1">IFERROR(__xludf.DUMMYFUNCTION("""COMPUTED_VALUE"""),3)</f>
        <v>3</v>
      </c>
      <c r="V219" s="103" t="str">
        <f ca="1">IFERROR(__xludf.DUMMYFUNCTION("""COMPUTED_VALUE"""),"J")</f>
        <v>J</v>
      </c>
      <c r="W219" s="103"/>
      <c r="X219" s="103"/>
      <c r="Y219" s="103"/>
      <c r="Z219" s="103"/>
      <c r="AA219" s="103"/>
      <c r="AB219" s="103"/>
      <c r="AC219" s="103"/>
      <c r="AD219" s="103">
        <f ca="1">IFERROR(__xludf.DUMMYFUNCTION("""COMPUTED_VALUE"""),61)</f>
        <v>61</v>
      </c>
      <c r="AE219" s="103">
        <f ca="1">IFERROR(__xludf.DUMMYFUNCTION("""COMPUTED_VALUE"""),20)</f>
        <v>20</v>
      </c>
      <c r="AF219" s="103">
        <f ca="1">IFERROR(__xludf.DUMMYFUNCTION("""COMPUTED_VALUE"""),300)</f>
        <v>300</v>
      </c>
      <c r="AG219" s="103">
        <f ca="1">IFERROR(__xludf.DUMMYFUNCTION("""COMPUTED_VALUE"""),7)</f>
        <v>7</v>
      </c>
      <c r="AH219" s="103">
        <f ca="1">IFERROR(__xludf.DUMMYFUNCTION("""COMPUTED_VALUE"""),24)</f>
        <v>24</v>
      </c>
      <c r="AI219" s="103">
        <f ca="1">IFERROR(__xludf.DUMMYFUNCTION("""COMPUTED_VALUE"""),7)</f>
        <v>7</v>
      </c>
      <c r="AJ219" s="103" t="str">
        <f ca="1">IFERROR(__xludf.DUMMYFUNCTION("""COMPUTED_VALUE"""),"MORS")</f>
        <v>MORS</v>
      </c>
      <c r="AK219" s="103">
        <f ca="1">IFERROR(__xludf.DUMMYFUNCTION("""COMPUTED_VALUE"""),21)</f>
        <v>21</v>
      </c>
      <c r="AL219" s="103"/>
      <c r="AM219" s="103"/>
      <c r="AN219" s="103"/>
      <c r="AO219" s="57" t="str">
        <f ca="1">IFERROR(__xludf.DUMMYFUNCTION("""COMPUTED_VALUE"""),"1B")</f>
        <v>1B</v>
      </c>
      <c r="AP219" s="103">
        <f ca="1">IFERROR(__xludf.DUMMYFUNCTION("""COMPUTED_VALUE"""),2)</f>
        <v>2</v>
      </c>
    </row>
    <row r="220" spans="1:42">
      <c r="A220" s="103">
        <f ca="1">IFERROR(__xludf.DUMMYFUNCTION("""COMPUTED_VALUE"""),4)</f>
        <v>4</v>
      </c>
      <c r="B220" s="103" t="str">
        <f ca="1">IFERROR(__xludf.DUMMYFUNCTION("""COMPUTED_VALUE"""),"JSM")</f>
        <v>JSM</v>
      </c>
      <c r="C220" s="103" t="str">
        <f ca="1">IFERROR(__xludf.DUMMYFUNCTION("""COMPUTED_VALUE"""),"N")</f>
        <v>N</v>
      </c>
      <c r="D220" s="103">
        <f ca="1">IFERROR(__xludf.DUMMYFUNCTION("""COMPUTED_VALUE"""),288029968)</f>
        <v>288029968</v>
      </c>
      <c r="E220" s="103" t="str">
        <f ca="1">IFERROR(__xludf.DUMMYFUNCTION("""COMPUTED_VALUE"""),"Common Yellowthroat")</f>
        <v>Common Yellowthroat</v>
      </c>
      <c r="F220" s="103" t="str">
        <f ca="1">IFERROR(__xludf.DUMMYFUNCTION("""COMPUTED_VALUE"""),"COYE")</f>
        <v>COYE</v>
      </c>
      <c r="G220" s="103">
        <f ca="1">IFERROR(__xludf.DUMMYFUNCTION("""COMPUTED_VALUE"""),2)</f>
        <v>2</v>
      </c>
      <c r="H220" s="103" t="str">
        <f ca="1">IFERROR(__xludf.DUMMYFUNCTION("""COMPUTED_VALUE"""),"J")</f>
        <v>J</v>
      </c>
      <c r="I220" s="103"/>
      <c r="J220" s="103" t="str">
        <f ca="1">IFERROR(__xludf.DUMMYFUNCTION("""COMPUTED_VALUE"""),"FPF")</f>
        <v>FPF</v>
      </c>
      <c r="K220" s="103" t="str">
        <f ca="1">IFERROR(__xludf.DUMMYFUNCTION("""COMPUTED_VALUE"""),"U")</f>
        <v>U</v>
      </c>
      <c r="L220" s="103"/>
      <c r="M220" s="103"/>
      <c r="N220" s="103"/>
      <c r="O220" s="103">
        <f ca="1">IFERROR(__xludf.DUMMYFUNCTION("""COMPUTED_VALUE"""),0)</f>
        <v>0</v>
      </c>
      <c r="P220" s="103">
        <f ca="1">IFERROR(__xludf.DUMMYFUNCTION("""COMPUTED_VALUE"""),0)</f>
        <v>0</v>
      </c>
      <c r="Q220" s="103">
        <f ca="1">IFERROR(__xludf.DUMMYFUNCTION("""COMPUTED_VALUE"""),0)</f>
        <v>0</v>
      </c>
      <c r="R220" s="103">
        <f ca="1">IFERROR(__xludf.DUMMYFUNCTION("""COMPUTED_VALUE"""),3)</f>
        <v>3</v>
      </c>
      <c r="S220" s="103" t="str">
        <f ca="1">IFERROR(__xludf.DUMMYFUNCTION("""COMPUTED_VALUE"""),"N")</f>
        <v>N</v>
      </c>
      <c r="T220" s="103">
        <f ca="1">IFERROR(__xludf.DUMMYFUNCTION("""COMPUTED_VALUE"""),1)</f>
        <v>1</v>
      </c>
      <c r="U220" s="103">
        <f ca="1">IFERROR(__xludf.DUMMYFUNCTION("""COMPUTED_VALUE"""),3)</f>
        <v>3</v>
      </c>
      <c r="V220" s="103" t="str">
        <f ca="1">IFERROR(__xludf.DUMMYFUNCTION("""COMPUTED_VALUE"""),"J")</f>
        <v>J</v>
      </c>
      <c r="W220" s="103" t="str">
        <f ca="1">IFERROR(__xludf.DUMMYFUNCTION("""COMPUTED_VALUE"""),"J")</f>
        <v>J</v>
      </c>
      <c r="X220" s="103"/>
      <c r="Y220" s="103"/>
      <c r="Z220" s="103" t="str">
        <f ca="1">IFERROR(__xludf.DUMMYFUNCTION("""COMPUTED_VALUE"""),"J")</f>
        <v>J</v>
      </c>
      <c r="AA220" s="103"/>
      <c r="AB220" s="103"/>
      <c r="AC220" s="103"/>
      <c r="AD220" s="103">
        <f ca="1">IFERROR(__xludf.DUMMYFUNCTION("""COMPUTED_VALUE"""),55)</f>
        <v>55</v>
      </c>
      <c r="AE220" s="103">
        <f ca="1">IFERROR(__xludf.DUMMYFUNCTION("""COMPUTED_VALUE"""),9.6)</f>
        <v>9.6</v>
      </c>
      <c r="AF220" s="103">
        <f ca="1">IFERROR(__xludf.DUMMYFUNCTION("""COMPUTED_VALUE"""),300)</f>
        <v>300</v>
      </c>
      <c r="AG220" s="103">
        <f ca="1">IFERROR(__xludf.DUMMYFUNCTION("""COMPUTED_VALUE"""),7)</f>
        <v>7</v>
      </c>
      <c r="AH220" s="103">
        <f ca="1">IFERROR(__xludf.DUMMYFUNCTION("""COMPUTED_VALUE"""),24)</f>
        <v>24</v>
      </c>
      <c r="AI220" s="103">
        <f ca="1">IFERROR(__xludf.DUMMYFUNCTION("""COMPUTED_VALUE"""),7)</f>
        <v>7</v>
      </c>
      <c r="AJ220" s="103" t="str">
        <f ca="1">IFERROR(__xludf.DUMMYFUNCTION("""COMPUTED_VALUE"""),"MORS")</f>
        <v>MORS</v>
      </c>
      <c r="AK220" s="103">
        <f ca="1">IFERROR(__xludf.DUMMYFUNCTION("""COMPUTED_VALUE"""),21)</f>
        <v>21</v>
      </c>
      <c r="AL220" s="103"/>
      <c r="AM220" s="103"/>
      <c r="AN220" s="103"/>
      <c r="AO220" s="57">
        <f ca="1">IFERROR(__xludf.DUMMYFUNCTION("""COMPUTED_VALUE"""),0)</f>
        <v>0</v>
      </c>
      <c r="AP220" s="103">
        <f ca="1">IFERROR(__xludf.DUMMYFUNCTION("""COMPUTED_VALUE"""),2)</f>
        <v>2</v>
      </c>
    </row>
    <row r="221" spans="1:42">
      <c r="A221" s="103">
        <f ca="1">IFERROR(__xludf.DUMMYFUNCTION("""COMPUTED_VALUE"""),5)</f>
        <v>5</v>
      </c>
      <c r="B221" s="103" t="str">
        <f ca="1">IFERROR(__xludf.DUMMYFUNCTION("""COMPUTED_VALUE"""),"JSM")</f>
        <v>JSM</v>
      </c>
      <c r="C221" s="103" t="str">
        <f ca="1">IFERROR(__xludf.DUMMYFUNCTION("""COMPUTED_VALUE"""),"R")</f>
        <v>R</v>
      </c>
      <c r="D221" s="103">
        <f ca="1">IFERROR(__xludf.DUMMYFUNCTION("""COMPUTED_VALUE"""),284111513)</f>
        <v>284111513</v>
      </c>
      <c r="E221" s="103" t="str">
        <f ca="1">IFERROR(__xludf.DUMMYFUNCTION("""COMPUTED_VALUE"""),"Spotted Towhee")</f>
        <v>Spotted Towhee</v>
      </c>
      <c r="F221" s="103" t="str">
        <f ca="1">IFERROR(__xludf.DUMMYFUNCTION("""COMPUTED_VALUE"""),"SPTO")</f>
        <v>SPTO</v>
      </c>
      <c r="G221" s="103">
        <f ca="1">IFERROR(__xludf.DUMMYFUNCTION("""COMPUTED_VALUE"""),6)</f>
        <v>6</v>
      </c>
      <c r="H221" s="103" t="str">
        <f ca="1">IFERROR(__xludf.DUMMYFUNCTION("""COMPUTED_VALUE"""),"P")</f>
        <v>P</v>
      </c>
      <c r="I221" s="103"/>
      <c r="J221" s="103" t="str">
        <f ca="1">IFERROR(__xludf.DUMMYFUNCTION("""COMPUTED_VALUE"""),"DCB")</f>
        <v>DCB</v>
      </c>
      <c r="K221" s="103" t="str">
        <f ca="1">IFERROR(__xludf.DUMMYFUNCTION("""COMPUTED_VALUE"""),"F")</f>
        <v>F</v>
      </c>
      <c r="L221" s="103" t="str">
        <f ca="1">IFERROR(__xludf.DUMMYFUNCTION("""COMPUTED_VALUE"""),"B")</f>
        <v>B</v>
      </c>
      <c r="M221" s="103"/>
      <c r="N221" s="103"/>
      <c r="O221" s="103">
        <f ca="1">IFERROR(__xludf.DUMMYFUNCTION("""COMPUTED_VALUE"""),0)</f>
        <v>0</v>
      </c>
      <c r="P221" s="103">
        <f ca="1">IFERROR(__xludf.DUMMYFUNCTION("""COMPUTED_VALUE"""),3)</f>
        <v>3</v>
      </c>
      <c r="Q221" s="103">
        <f ca="1">IFERROR(__xludf.DUMMYFUNCTION("""COMPUTED_VALUE"""),0)</f>
        <v>0</v>
      </c>
      <c r="R221" s="103">
        <f ca="1">IFERROR(__xludf.DUMMYFUNCTION("""COMPUTED_VALUE"""),0)</f>
        <v>0</v>
      </c>
      <c r="S221" s="103" t="str">
        <f ca="1">IFERROR(__xludf.DUMMYFUNCTION("""COMPUTED_VALUE"""),"N")</f>
        <v>N</v>
      </c>
      <c r="T221" s="103">
        <f ca="1">IFERROR(__xludf.DUMMYFUNCTION("""COMPUTED_VALUE"""),3)</f>
        <v>3</v>
      </c>
      <c r="U221" s="103">
        <f ca="1">IFERROR(__xludf.DUMMYFUNCTION("""COMPUTED_VALUE"""),0)</f>
        <v>0</v>
      </c>
      <c r="V221" s="103" t="str">
        <f ca="1">IFERROR(__xludf.DUMMYFUNCTION("""COMPUTED_VALUE"""),"B")</f>
        <v>B</v>
      </c>
      <c r="W221" s="103"/>
      <c r="X221" s="103"/>
      <c r="Y221" s="103"/>
      <c r="Z221" s="103"/>
      <c r="AA221" s="103"/>
      <c r="AB221" s="103"/>
      <c r="AC221" s="103"/>
      <c r="AD221" s="103">
        <f ca="1">IFERROR(__xludf.DUMMYFUNCTION("""COMPUTED_VALUE"""),79)</f>
        <v>79</v>
      </c>
      <c r="AE221" s="103">
        <f ca="1">IFERROR(__xludf.DUMMYFUNCTION("""COMPUTED_VALUE"""),32.2)</f>
        <v>32.200000000000003</v>
      </c>
      <c r="AF221" s="103">
        <f ca="1">IFERROR(__xludf.DUMMYFUNCTION("""COMPUTED_VALUE"""),300)</f>
        <v>300</v>
      </c>
      <c r="AG221" s="103">
        <f ca="1">IFERROR(__xludf.DUMMYFUNCTION("""COMPUTED_VALUE"""),7)</f>
        <v>7</v>
      </c>
      <c r="AH221" s="103">
        <f ca="1">IFERROR(__xludf.DUMMYFUNCTION("""COMPUTED_VALUE"""),24)</f>
        <v>24</v>
      </c>
      <c r="AI221" s="103">
        <f ca="1">IFERROR(__xludf.DUMMYFUNCTION("""COMPUTED_VALUE"""),740)</f>
        <v>740</v>
      </c>
      <c r="AJ221" s="103" t="str">
        <f ca="1">IFERROR(__xludf.DUMMYFUNCTION("""COMPUTED_VALUE"""),"MORS")</f>
        <v>MORS</v>
      </c>
      <c r="AK221" s="103">
        <f ca="1">IFERROR(__xludf.DUMMYFUNCTION("""COMPUTED_VALUE"""),6)</f>
        <v>6</v>
      </c>
      <c r="AL221" s="103"/>
      <c r="AM221" s="103">
        <f ca="1">IFERROR(__xludf.DUMMYFUNCTION("""COMPUTED_VALUE"""),2)</f>
        <v>2</v>
      </c>
      <c r="AN221" s="103" t="str">
        <f ca="1">IFERROR(__xludf.DUMMYFUNCTION("""COMPUTED_VALUE"""),"This bird had no tail in net. Carrying eggs")</f>
        <v>This bird had no tail in net. Carrying eggs</v>
      </c>
      <c r="AO221" s="57" t="str">
        <f ca="1">IFERROR(__xludf.DUMMYFUNCTION("""COMPUTED_VALUE"""),"R")</f>
        <v>R</v>
      </c>
      <c r="AP221" s="103">
        <f ca="1">IFERROR(__xludf.DUMMYFUNCTION("""COMPUTED_VALUE"""),2)</f>
        <v>2</v>
      </c>
    </row>
    <row r="222" spans="1:42">
      <c r="A222" s="103">
        <f ca="1">IFERROR(__xludf.DUMMYFUNCTION("""COMPUTED_VALUE"""),6)</f>
        <v>6</v>
      </c>
      <c r="B222" s="103" t="str">
        <f ca="1">IFERROR(__xludf.DUMMYFUNCTION("""COMPUTED_VALUE"""),"JSM")</f>
        <v>JSM</v>
      </c>
      <c r="C222" s="103" t="str">
        <f ca="1">IFERROR(__xludf.DUMMYFUNCTION("""COMPUTED_VALUE"""),"R")</f>
        <v>R</v>
      </c>
      <c r="D222" s="103">
        <f ca="1">IFERROR(__xludf.DUMMYFUNCTION("""COMPUTED_VALUE"""),281191236)</f>
        <v>281191236</v>
      </c>
      <c r="E222" s="103" t="str">
        <f ca="1">IFERROR(__xludf.DUMMYFUNCTION("""COMPUTED_VALUE"""),"Purple Finch")</f>
        <v>Purple Finch</v>
      </c>
      <c r="F222" s="103" t="str">
        <f ca="1">IFERROR(__xludf.DUMMYFUNCTION("""COMPUTED_VALUE"""),"PUFI")</f>
        <v>PUFI</v>
      </c>
      <c r="G222" s="103">
        <f ca="1">IFERROR(__xludf.DUMMYFUNCTION("""COMPUTED_VALUE"""),6)</f>
        <v>6</v>
      </c>
      <c r="H222" s="103" t="str">
        <f ca="1">IFERROR(__xludf.DUMMYFUNCTION("""COMPUTED_VALUE"""),"P")</f>
        <v>P</v>
      </c>
      <c r="I222" s="103"/>
      <c r="J222" s="103" t="str">
        <f ca="1">IFERROR(__xludf.DUMMYFUNCTION("""COMPUTED_VALUE"""),"DCB")</f>
        <v>DCB</v>
      </c>
      <c r="K222" s="103" t="str">
        <f ca="1">IFERROR(__xludf.DUMMYFUNCTION("""COMPUTED_VALUE"""),"F")</f>
        <v>F</v>
      </c>
      <c r="L222" s="103" t="str">
        <f ca="1">IFERROR(__xludf.DUMMYFUNCTION("""COMPUTED_VALUE"""),"B")</f>
        <v>B</v>
      </c>
      <c r="M222" s="103" t="str">
        <f ca="1">IFERROR(__xludf.DUMMYFUNCTION("""COMPUTED_VALUE"""),"P")</f>
        <v>P</v>
      </c>
      <c r="N222" s="103"/>
      <c r="O222" s="103">
        <f ca="1">IFERROR(__xludf.DUMMYFUNCTION("""COMPUTED_VALUE"""),0)</f>
        <v>0</v>
      </c>
      <c r="P222" s="103">
        <f ca="1">IFERROR(__xludf.DUMMYFUNCTION("""COMPUTED_VALUE"""),3)</f>
        <v>3</v>
      </c>
      <c r="Q222" s="103">
        <f ca="1">IFERROR(__xludf.DUMMYFUNCTION("""COMPUTED_VALUE"""),1)</f>
        <v>1</v>
      </c>
      <c r="R222" s="103">
        <f ca="1">IFERROR(__xludf.DUMMYFUNCTION("""COMPUTED_VALUE"""),0)</f>
        <v>0</v>
      </c>
      <c r="S222" s="103" t="str">
        <f ca="1">IFERROR(__xludf.DUMMYFUNCTION("""COMPUTED_VALUE"""),"N")</f>
        <v>N</v>
      </c>
      <c r="T222" s="103">
        <f ca="1">IFERROR(__xludf.DUMMYFUNCTION("""COMPUTED_VALUE"""),3)</f>
        <v>3</v>
      </c>
      <c r="U222" s="103"/>
      <c r="V222" s="103" t="str">
        <f ca="1">IFERROR(__xludf.DUMMYFUNCTION("""COMPUTED_VALUE"""),"B")</f>
        <v>B</v>
      </c>
      <c r="W222" s="103" t="str">
        <f ca="1">IFERROR(__xludf.DUMMYFUNCTION("""COMPUTED_VALUE"""),"B")</f>
        <v>B</v>
      </c>
      <c r="X222" s="103"/>
      <c r="Y222" s="103"/>
      <c r="Z222" s="103"/>
      <c r="AA222" s="103" t="str">
        <f ca="1">IFERROR(__xludf.DUMMYFUNCTION("""COMPUTED_VALUE"""),"B")</f>
        <v>B</v>
      </c>
      <c r="AB222" s="103"/>
      <c r="AC222" s="103"/>
      <c r="AD222" s="103">
        <f ca="1">IFERROR(__xludf.DUMMYFUNCTION("""COMPUTED_VALUE"""),78)</f>
        <v>78</v>
      </c>
      <c r="AE222" s="103">
        <f ca="1">IFERROR(__xludf.DUMMYFUNCTION("""COMPUTED_VALUE"""),22.8)</f>
        <v>22.8</v>
      </c>
      <c r="AF222" s="103">
        <f ca="1">IFERROR(__xludf.DUMMYFUNCTION("""COMPUTED_VALUE"""),300)</f>
        <v>300</v>
      </c>
      <c r="AG222" s="103">
        <f ca="1">IFERROR(__xludf.DUMMYFUNCTION("""COMPUTED_VALUE"""),7)</f>
        <v>7</v>
      </c>
      <c r="AH222" s="103">
        <f ca="1">IFERROR(__xludf.DUMMYFUNCTION("""COMPUTED_VALUE"""),24)</f>
        <v>24</v>
      </c>
      <c r="AI222" s="103">
        <f ca="1">IFERROR(__xludf.DUMMYFUNCTION("""COMPUTED_VALUE"""),740)</f>
        <v>740</v>
      </c>
      <c r="AJ222" s="103" t="str">
        <f ca="1">IFERROR(__xludf.DUMMYFUNCTION("""COMPUTED_VALUE"""),"MORS")</f>
        <v>MORS</v>
      </c>
      <c r="AK222" s="103">
        <f ca="1">IFERROR(__xludf.DUMMYFUNCTION("""COMPUTED_VALUE"""),14)</f>
        <v>14</v>
      </c>
      <c r="AL222" s="103"/>
      <c r="AM222" s="103"/>
      <c r="AN222" s="103"/>
      <c r="AO222" s="57" t="str">
        <f ca="1">IFERROR(__xludf.DUMMYFUNCTION("""COMPUTED_VALUE"""),"R")</f>
        <v>R</v>
      </c>
      <c r="AP222" s="103">
        <f ca="1">IFERROR(__xludf.DUMMYFUNCTION("""COMPUTED_VALUE"""),2)</f>
        <v>2</v>
      </c>
    </row>
    <row r="223" spans="1:42">
      <c r="A223" s="103">
        <f ca="1">IFERROR(__xludf.DUMMYFUNCTION("""COMPUTED_VALUE"""),7)</f>
        <v>7</v>
      </c>
      <c r="B223" s="103" t="str">
        <f ca="1">IFERROR(__xludf.DUMMYFUNCTION("""COMPUTED_VALUE"""),"JSM")</f>
        <v>JSM</v>
      </c>
      <c r="C223" s="103" t="str">
        <f ca="1">IFERROR(__xludf.DUMMYFUNCTION("""COMPUTED_VALUE"""),"N")</f>
        <v>N</v>
      </c>
      <c r="D223" s="103">
        <f ca="1">IFERROR(__xludf.DUMMYFUNCTION("""COMPUTED_VALUE"""),281191247)</f>
        <v>281191247</v>
      </c>
      <c r="E223" s="103" t="str">
        <f ca="1">IFERROR(__xludf.DUMMYFUNCTION("""COMPUTED_VALUE"""),"Chestnut-backed Chickadee")</f>
        <v>Chestnut-backed Chickadee</v>
      </c>
      <c r="F223" s="103" t="str">
        <f ca="1">IFERROR(__xludf.DUMMYFUNCTION("""COMPUTED_VALUE"""),"CBCH")</f>
        <v>CBCH</v>
      </c>
      <c r="G223" s="103">
        <f ca="1">IFERROR(__xludf.DUMMYFUNCTION("""COMPUTED_VALUE"""),2)</f>
        <v>2</v>
      </c>
      <c r="H223" s="103" t="str">
        <f ca="1">IFERROR(__xludf.DUMMYFUNCTION("""COMPUTED_VALUE"""),"J")</f>
        <v>J</v>
      </c>
      <c r="I223" s="103"/>
      <c r="J223" s="103" t="str">
        <f ca="1">IFERROR(__xludf.DUMMYFUNCTION("""COMPUTED_VALUE"""),"FCJ")</f>
        <v>FCJ</v>
      </c>
      <c r="K223" s="103" t="str">
        <f ca="1">IFERROR(__xludf.DUMMYFUNCTION("""COMPUTED_VALUE"""),"U")</f>
        <v>U</v>
      </c>
      <c r="L223" s="103"/>
      <c r="M223" s="103"/>
      <c r="N223" s="103">
        <f ca="1">IFERROR(__xludf.DUMMYFUNCTION("""COMPUTED_VALUE"""),3)</f>
        <v>3</v>
      </c>
      <c r="O223" s="103">
        <f ca="1">IFERROR(__xludf.DUMMYFUNCTION("""COMPUTED_VALUE"""),0)</f>
        <v>0</v>
      </c>
      <c r="P223" s="103">
        <f ca="1">IFERROR(__xludf.DUMMYFUNCTION("""COMPUTED_VALUE"""),0)</f>
        <v>0</v>
      </c>
      <c r="Q223" s="103">
        <f ca="1">IFERROR(__xludf.DUMMYFUNCTION("""COMPUTED_VALUE"""),0)</f>
        <v>0</v>
      </c>
      <c r="R223" s="103">
        <f ca="1">IFERROR(__xludf.DUMMYFUNCTION("""COMPUTED_VALUE"""),0)</f>
        <v>0</v>
      </c>
      <c r="S223" s="103" t="str">
        <f ca="1">IFERROR(__xludf.DUMMYFUNCTION("""COMPUTED_VALUE"""),"N")</f>
        <v>N</v>
      </c>
      <c r="T223" s="103">
        <f ca="1">IFERROR(__xludf.DUMMYFUNCTION("""COMPUTED_VALUE"""),1)</f>
        <v>1</v>
      </c>
      <c r="U223" s="103">
        <f ca="1">IFERROR(__xludf.DUMMYFUNCTION("""COMPUTED_VALUE"""),3)</f>
        <v>3</v>
      </c>
      <c r="V223" s="103"/>
      <c r="W223" s="103"/>
      <c r="X223" s="103"/>
      <c r="Y223" s="103"/>
      <c r="Z223" s="103"/>
      <c r="AA223" s="103"/>
      <c r="AB223" s="103"/>
      <c r="AC223" s="103"/>
      <c r="AD223" s="103">
        <f ca="1">IFERROR(__xludf.DUMMYFUNCTION("""COMPUTED_VALUE"""),59)</f>
        <v>59</v>
      </c>
      <c r="AE223" s="103"/>
      <c r="AF223" s="103">
        <f ca="1">IFERROR(__xludf.DUMMYFUNCTION("""COMPUTED_VALUE"""),300)</f>
        <v>300</v>
      </c>
      <c r="AG223" s="103">
        <f ca="1">IFERROR(__xludf.DUMMYFUNCTION("""COMPUTED_VALUE"""),7)</f>
        <v>7</v>
      </c>
      <c r="AH223" s="103">
        <f ca="1">IFERROR(__xludf.DUMMYFUNCTION("""COMPUTED_VALUE"""),24)</f>
        <v>24</v>
      </c>
      <c r="AI223" s="103">
        <f ca="1">IFERROR(__xludf.DUMMYFUNCTION("""COMPUTED_VALUE"""),8)</f>
        <v>8</v>
      </c>
      <c r="AJ223" s="103" t="str">
        <f ca="1">IFERROR(__xludf.DUMMYFUNCTION("""COMPUTED_VALUE"""),"MORS")</f>
        <v>MORS</v>
      </c>
      <c r="AK223" s="103">
        <f ca="1">IFERROR(__xludf.DUMMYFUNCTION("""COMPUTED_VALUE"""),5)</f>
        <v>5</v>
      </c>
      <c r="AL223" s="103"/>
      <c r="AM223" s="103">
        <f ca="1">IFERROR(__xludf.DUMMYFUNCTION("""COMPUTED_VALUE"""),3)</f>
        <v>3</v>
      </c>
      <c r="AN223" s="103" t="str">
        <f ca="1">IFERROR(__xludf.DUMMYFUNCTION("""COMPUTED_VALUE"""),"Roof of mandible dark gray")</f>
        <v>Roof of mandible dark gray</v>
      </c>
      <c r="AO223" s="57">
        <f ca="1">IFERROR(__xludf.DUMMYFUNCTION("""COMPUTED_VALUE"""),1)</f>
        <v>1</v>
      </c>
      <c r="AP223" s="103">
        <f ca="1">IFERROR(__xludf.DUMMYFUNCTION("""COMPUTED_VALUE"""),2)</f>
        <v>2</v>
      </c>
    </row>
    <row r="224" spans="1:42">
      <c r="A224" s="103">
        <f ca="1">IFERROR(__xludf.DUMMYFUNCTION("""COMPUTED_VALUE"""),8)</f>
        <v>8</v>
      </c>
      <c r="B224" s="103" t="str">
        <f ca="1">IFERROR(__xludf.DUMMYFUNCTION("""COMPUTED_VALUE"""),"JSM")</f>
        <v>JSM</v>
      </c>
      <c r="C224" s="103" t="str">
        <f ca="1">IFERROR(__xludf.DUMMYFUNCTION("""COMPUTED_VALUE"""),"N")</f>
        <v>N</v>
      </c>
      <c r="D224" s="103">
        <f ca="1">IFERROR(__xludf.DUMMYFUNCTION("""COMPUTED_VALUE"""),281191248)</f>
        <v>281191248</v>
      </c>
      <c r="E224" s="103" t="str">
        <f ca="1">IFERROR(__xludf.DUMMYFUNCTION("""COMPUTED_VALUE"""),"Chestnut-backed Chickadee")</f>
        <v>Chestnut-backed Chickadee</v>
      </c>
      <c r="F224" s="103" t="str">
        <f ca="1">IFERROR(__xludf.DUMMYFUNCTION("""COMPUTED_VALUE"""),"CBCH")</f>
        <v>CBCH</v>
      </c>
      <c r="G224" s="103">
        <f ca="1">IFERROR(__xludf.DUMMYFUNCTION("""COMPUTED_VALUE"""),2)</f>
        <v>2</v>
      </c>
      <c r="H224" s="103" t="str">
        <f ca="1">IFERROR(__xludf.DUMMYFUNCTION("""COMPUTED_VALUE"""),"J")</f>
        <v>J</v>
      </c>
      <c r="I224" s="103"/>
      <c r="J224" s="103" t="str">
        <f ca="1">IFERROR(__xludf.DUMMYFUNCTION("""COMPUTED_VALUE"""),"FCJ")</f>
        <v>FCJ</v>
      </c>
      <c r="K224" s="103" t="str">
        <f ca="1">IFERROR(__xludf.DUMMYFUNCTION("""COMPUTED_VALUE"""),"U")</f>
        <v>U</v>
      </c>
      <c r="L224" s="103"/>
      <c r="M224" s="103"/>
      <c r="N224" s="103">
        <f ca="1">IFERROR(__xludf.DUMMYFUNCTION("""COMPUTED_VALUE"""),3)</f>
        <v>3</v>
      </c>
      <c r="O224" s="103">
        <f ca="1">IFERROR(__xludf.DUMMYFUNCTION("""COMPUTED_VALUE"""),0)</f>
        <v>0</v>
      </c>
      <c r="P224" s="103">
        <f ca="1">IFERROR(__xludf.DUMMYFUNCTION("""COMPUTED_VALUE"""),0)</f>
        <v>0</v>
      </c>
      <c r="Q224" s="103">
        <f ca="1">IFERROR(__xludf.DUMMYFUNCTION("""COMPUTED_VALUE"""),0)</f>
        <v>0</v>
      </c>
      <c r="R224" s="103">
        <f ca="1">IFERROR(__xludf.DUMMYFUNCTION("""COMPUTED_VALUE"""),0)</f>
        <v>0</v>
      </c>
      <c r="S224" s="103" t="str">
        <f ca="1">IFERROR(__xludf.DUMMYFUNCTION("""COMPUTED_VALUE"""),"N")</f>
        <v>N</v>
      </c>
      <c r="T224" s="103">
        <f ca="1">IFERROR(__xludf.DUMMYFUNCTION("""COMPUTED_VALUE"""),1)</f>
        <v>1</v>
      </c>
      <c r="U224" s="103">
        <f ca="1">IFERROR(__xludf.DUMMYFUNCTION("""COMPUTED_VALUE"""),3)</f>
        <v>3</v>
      </c>
      <c r="V224" s="103" t="str">
        <f ca="1">IFERROR(__xludf.DUMMYFUNCTION("""COMPUTED_VALUE"""),"J")</f>
        <v>J</v>
      </c>
      <c r="W224" s="103"/>
      <c r="X224" s="103"/>
      <c r="Y224" s="103"/>
      <c r="Z224" s="103"/>
      <c r="AA224" s="103"/>
      <c r="AB224" s="103"/>
      <c r="AC224" s="103"/>
      <c r="AD224" s="103">
        <f ca="1">IFERROR(__xludf.DUMMYFUNCTION("""COMPUTED_VALUE"""),62)</f>
        <v>62</v>
      </c>
      <c r="AE224" s="103">
        <f ca="1">IFERROR(__xludf.DUMMYFUNCTION("""COMPUTED_VALUE"""),9.4)</f>
        <v>9.4</v>
      </c>
      <c r="AF224" s="103">
        <f ca="1">IFERROR(__xludf.DUMMYFUNCTION("""COMPUTED_VALUE"""),300)</f>
        <v>300</v>
      </c>
      <c r="AG224" s="103">
        <f ca="1">IFERROR(__xludf.DUMMYFUNCTION("""COMPUTED_VALUE"""),7)</f>
        <v>7</v>
      </c>
      <c r="AH224" s="103">
        <f ca="1">IFERROR(__xludf.DUMMYFUNCTION("""COMPUTED_VALUE"""),24)</f>
        <v>24</v>
      </c>
      <c r="AI224" s="103">
        <f ca="1">IFERROR(__xludf.DUMMYFUNCTION("""COMPUTED_VALUE"""),840)</f>
        <v>840</v>
      </c>
      <c r="AJ224" s="103" t="str">
        <f ca="1">IFERROR(__xludf.DUMMYFUNCTION("""COMPUTED_VALUE"""),"MORS")</f>
        <v>MORS</v>
      </c>
      <c r="AK224" s="103">
        <f ca="1">IFERROR(__xludf.DUMMYFUNCTION("""COMPUTED_VALUE"""),5)</f>
        <v>5</v>
      </c>
      <c r="AL224" s="103"/>
      <c r="AM224" s="103"/>
      <c r="AN224" s="103"/>
      <c r="AO224" s="57">
        <f ca="1">IFERROR(__xludf.DUMMYFUNCTION("""COMPUTED_VALUE"""),1)</f>
        <v>1</v>
      </c>
      <c r="AP224" s="103">
        <f ca="1">IFERROR(__xludf.DUMMYFUNCTION("""COMPUTED_VALUE"""),2)</f>
        <v>2</v>
      </c>
    </row>
    <row r="225" spans="1:42">
      <c r="A225" s="103">
        <f ca="1">IFERROR(__xludf.DUMMYFUNCTION("""COMPUTED_VALUE"""),9)</f>
        <v>9</v>
      </c>
      <c r="B225" s="103" t="str">
        <f ca="1">IFERROR(__xludf.DUMMYFUNCTION("""COMPUTED_VALUE"""),"JSM")</f>
        <v>JSM</v>
      </c>
      <c r="C225" s="103" t="str">
        <f ca="1">IFERROR(__xludf.DUMMYFUNCTION("""COMPUTED_VALUE"""),"N")</f>
        <v>N</v>
      </c>
      <c r="D225" s="103">
        <f ca="1">IFERROR(__xludf.DUMMYFUNCTION("""COMPUTED_VALUE"""),281191249)</f>
        <v>281191249</v>
      </c>
      <c r="E225" s="103" t="str">
        <f ca="1">IFERROR(__xludf.DUMMYFUNCTION("""COMPUTED_VALUE"""),"Bewick's Wren")</f>
        <v>Bewick's Wren</v>
      </c>
      <c r="F225" s="103" t="str">
        <f ca="1">IFERROR(__xludf.DUMMYFUNCTION("""COMPUTED_VALUE"""),"BEWR")</f>
        <v>BEWR</v>
      </c>
      <c r="G225" s="103">
        <f ca="1">IFERROR(__xludf.DUMMYFUNCTION("""COMPUTED_VALUE"""),5)</f>
        <v>5</v>
      </c>
      <c r="H225" s="103" t="str">
        <f ca="1">IFERROR(__xludf.DUMMYFUNCTION("""COMPUTED_VALUE"""),"B")</f>
        <v>B</v>
      </c>
      <c r="I225" s="103" t="str">
        <f ca="1">IFERROR(__xludf.DUMMYFUNCTION("""COMPUTED_VALUE"""),"P")</f>
        <v>P</v>
      </c>
      <c r="J225" s="103" t="str">
        <f ca="1">IFERROR(__xludf.DUMMYFUNCTION("""COMPUTED_VALUE"""),"FCF")</f>
        <v>FCF</v>
      </c>
      <c r="K225" s="103" t="str">
        <f ca="1">IFERROR(__xludf.DUMMYFUNCTION("""COMPUTED_VALUE"""),"F")</f>
        <v>F</v>
      </c>
      <c r="L225" s="103" t="str">
        <f ca="1">IFERROR(__xludf.DUMMYFUNCTION("""COMPUTED_VALUE"""),"B")</f>
        <v>B</v>
      </c>
      <c r="M225" s="103"/>
      <c r="N225" s="103">
        <f ca="1">IFERROR(__xludf.DUMMYFUNCTION("""COMPUTED_VALUE"""),6)</f>
        <v>6</v>
      </c>
      <c r="O225" s="103">
        <f ca="1">IFERROR(__xludf.DUMMYFUNCTION("""COMPUTED_VALUE"""),0)</f>
        <v>0</v>
      </c>
      <c r="P225" s="103">
        <f ca="1">IFERROR(__xludf.DUMMYFUNCTION("""COMPUTED_VALUE"""),3)</f>
        <v>3</v>
      </c>
      <c r="Q225" s="103">
        <f ca="1">IFERROR(__xludf.DUMMYFUNCTION("""COMPUTED_VALUE"""),0)</f>
        <v>0</v>
      </c>
      <c r="R225" s="103">
        <f ca="1">IFERROR(__xludf.DUMMYFUNCTION("""COMPUTED_VALUE"""),0)</f>
        <v>0</v>
      </c>
      <c r="S225" s="103" t="str">
        <f ca="1">IFERROR(__xludf.DUMMYFUNCTION("""COMPUTED_VALUE"""),"N")</f>
        <v>N</v>
      </c>
      <c r="T225" s="103">
        <f ca="1">IFERROR(__xludf.DUMMYFUNCTION("""COMPUTED_VALUE"""),1)</f>
        <v>1</v>
      </c>
      <c r="U225" s="103"/>
      <c r="V225" s="103"/>
      <c r="W225" s="103"/>
      <c r="X225" s="103"/>
      <c r="Y225" s="103"/>
      <c r="Z225" s="103"/>
      <c r="AA225" s="103" t="str">
        <f ca="1">IFERROR(__xludf.DUMMYFUNCTION("""COMPUTED_VALUE"""),"J")</f>
        <v>J</v>
      </c>
      <c r="AB225" s="103"/>
      <c r="AC225" s="103"/>
      <c r="AD225" s="103">
        <f ca="1">IFERROR(__xludf.DUMMYFUNCTION("""COMPUTED_VALUE"""),51)</f>
        <v>51</v>
      </c>
      <c r="AE225" s="103">
        <f ca="1">IFERROR(__xludf.DUMMYFUNCTION("""COMPUTED_VALUE"""),11.5)</f>
        <v>11.5</v>
      </c>
      <c r="AF225" s="103">
        <f ca="1">IFERROR(__xludf.DUMMYFUNCTION("""COMPUTED_VALUE"""),300)</f>
        <v>300</v>
      </c>
      <c r="AG225" s="103">
        <f ca="1">IFERROR(__xludf.DUMMYFUNCTION("""COMPUTED_VALUE"""),7)</f>
        <v>7</v>
      </c>
      <c r="AH225" s="103">
        <f ca="1">IFERROR(__xludf.DUMMYFUNCTION("""COMPUTED_VALUE"""),24)</f>
        <v>24</v>
      </c>
      <c r="AI225" s="103">
        <f ca="1">IFERROR(__xludf.DUMMYFUNCTION("""COMPUTED_VALUE"""),910)</f>
        <v>910</v>
      </c>
      <c r="AJ225" s="103" t="str">
        <f ca="1">IFERROR(__xludf.DUMMYFUNCTION("""COMPUTED_VALUE"""),"MORS")</f>
        <v>MORS</v>
      </c>
      <c r="AK225" s="103">
        <f ca="1">IFERROR(__xludf.DUMMYFUNCTION("""COMPUTED_VALUE"""),21)</f>
        <v>21</v>
      </c>
      <c r="AL225" s="103"/>
      <c r="AM225" s="103"/>
      <c r="AN225" s="103"/>
      <c r="AO225" s="57">
        <f ca="1">IFERROR(__xludf.DUMMYFUNCTION("""COMPUTED_VALUE"""),1)</f>
        <v>1</v>
      </c>
      <c r="AP225" s="103">
        <f ca="1">IFERROR(__xludf.DUMMYFUNCTION("""COMPUTED_VALUE"""),2)</f>
        <v>2</v>
      </c>
    </row>
    <row r="226" spans="1:42">
      <c r="A226" s="103">
        <f ca="1">IFERROR(__xludf.DUMMYFUNCTION("""COMPUTED_VALUE"""),10)</f>
        <v>10</v>
      </c>
      <c r="B226" s="103" t="str">
        <f ca="1">IFERROR(__xludf.DUMMYFUNCTION("""COMPUTED_VALUE"""),"JSM")</f>
        <v>JSM</v>
      </c>
      <c r="C226" s="103" t="str">
        <f ca="1">IFERROR(__xludf.DUMMYFUNCTION("""COMPUTED_VALUE"""),"N")</f>
        <v>N</v>
      </c>
      <c r="D226" s="103">
        <f ca="1">IFERROR(__xludf.DUMMYFUNCTION("""COMPUTED_VALUE"""),288029971)</f>
        <v>288029971</v>
      </c>
      <c r="E226" s="103" t="str">
        <f ca="1">IFERROR(__xludf.DUMMYFUNCTION("""COMPUTED_VALUE"""),"Black-capped Chickadee")</f>
        <v>Black-capped Chickadee</v>
      </c>
      <c r="F226" s="103" t="str">
        <f ca="1">IFERROR(__xludf.DUMMYFUNCTION("""COMPUTED_VALUE"""),"BCCH")</f>
        <v>BCCH</v>
      </c>
      <c r="G226" s="103">
        <f ca="1">IFERROR(__xludf.DUMMYFUNCTION("""COMPUTED_VALUE"""),2)</f>
        <v>2</v>
      </c>
      <c r="H226" s="103" t="str">
        <f ca="1">IFERROR(__xludf.DUMMYFUNCTION("""COMPUTED_VALUE"""),"J")</f>
        <v>J</v>
      </c>
      <c r="I226" s="103"/>
      <c r="J226" s="103" t="str">
        <f ca="1">IFERROR(__xludf.DUMMYFUNCTION("""COMPUTED_VALUE"""),"FCJ")</f>
        <v>FCJ</v>
      </c>
      <c r="K226" s="103" t="str">
        <f ca="1">IFERROR(__xludf.DUMMYFUNCTION("""COMPUTED_VALUE"""),"U")</f>
        <v>U</v>
      </c>
      <c r="L226" s="103"/>
      <c r="M226" s="103"/>
      <c r="N226" s="103"/>
      <c r="O226" s="103">
        <f ca="1">IFERROR(__xludf.DUMMYFUNCTION("""COMPUTED_VALUE"""),0)</f>
        <v>0</v>
      </c>
      <c r="P226" s="103">
        <f ca="1">IFERROR(__xludf.DUMMYFUNCTION("""COMPUTED_VALUE"""),0)</f>
        <v>0</v>
      </c>
      <c r="Q226" s="103">
        <f ca="1">IFERROR(__xludf.DUMMYFUNCTION("""COMPUTED_VALUE"""),2)</f>
        <v>2</v>
      </c>
      <c r="R226" s="103">
        <f ca="1">IFERROR(__xludf.DUMMYFUNCTION("""COMPUTED_VALUE"""),0)</f>
        <v>0</v>
      </c>
      <c r="S226" s="103" t="str">
        <f ca="1">IFERROR(__xludf.DUMMYFUNCTION("""COMPUTED_VALUE"""),"N")</f>
        <v>N</v>
      </c>
      <c r="T226" s="103">
        <f ca="1">IFERROR(__xludf.DUMMYFUNCTION("""COMPUTED_VALUE"""),1)</f>
        <v>1</v>
      </c>
      <c r="U226" s="103">
        <f ca="1">IFERROR(__xludf.DUMMYFUNCTION("""COMPUTED_VALUE"""),3)</f>
        <v>3</v>
      </c>
      <c r="V226" s="103" t="str">
        <f ca="1">IFERROR(__xludf.DUMMYFUNCTION("""COMPUTED_VALUE"""),"J")</f>
        <v>J</v>
      </c>
      <c r="W226" s="103"/>
      <c r="X226" s="103"/>
      <c r="Y226" s="103"/>
      <c r="Z226" s="103"/>
      <c r="AA226" s="103" t="str">
        <f ca="1">IFERROR(__xludf.DUMMYFUNCTION("""COMPUTED_VALUE"""),"J")</f>
        <v>J</v>
      </c>
      <c r="AB226" s="103"/>
      <c r="AC226" s="103"/>
      <c r="AD226" s="103">
        <f ca="1">IFERROR(__xludf.DUMMYFUNCTION("""COMPUTED_VALUE"""),58)</f>
        <v>58</v>
      </c>
      <c r="AE226" s="103"/>
      <c r="AF226" s="103">
        <f ca="1">IFERROR(__xludf.DUMMYFUNCTION("""COMPUTED_VALUE"""),300)</f>
        <v>300</v>
      </c>
      <c r="AG226" s="103">
        <f ca="1">IFERROR(__xludf.DUMMYFUNCTION("""COMPUTED_VALUE"""),7)</f>
        <v>7</v>
      </c>
      <c r="AH226" s="103">
        <f ca="1">IFERROR(__xludf.DUMMYFUNCTION("""COMPUTED_VALUE"""),24)</f>
        <v>24</v>
      </c>
      <c r="AI226" s="103">
        <f ca="1">IFERROR(__xludf.DUMMYFUNCTION("""COMPUTED_VALUE"""),910)</f>
        <v>910</v>
      </c>
      <c r="AJ226" s="103" t="str">
        <f ca="1">IFERROR(__xludf.DUMMYFUNCTION("""COMPUTED_VALUE"""),"MORS")</f>
        <v>MORS</v>
      </c>
      <c r="AK226" s="103">
        <f ca="1">IFERROR(__xludf.DUMMYFUNCTION("""COMPUTED_VALUE"""),14)</f>
        <v>14</v>
      </c>
      <c r="AL226" s="103"/>
      <c r="AM226" s="103"/>
      <c r="AN226" s="103"/>
      <c r="AO226" s="57">
        <f ca="1">IFERROR(__xludf.DUMMYFUNCTION("""COMPUTED_VALUE"""),0)</f>
        <v>0</v>
      </c>
      <c r="AP226" s="103">
        <f ca="1">IFERROR(__xludf.DUMMYFUNCTION("""COMPUTED_VALUE"""),2)</f>
        <v>2</v>
      </c>
    </row>
    <row r="227" spans="1:42">
      <c r="A227" s="103">
        <f ca="1">IFERROR(__xludf.DUMMYFUNCTION("""COMPUTED_VALUE"""),11)</f>
        <v>11</v>
      </c>
      <c r="B227" s="103" t="str">
        <f ca="1">IFERROR(__xludf.DUMMYFUNCTION("""COMPUTED_VALUE"""),"JSM")</f>
        <v>JSM</v>
      </c>
      <c r="C227" s="103" t="str">
        <f ca="1">IFERROR(__xludf.DUMMYFUNCTION("""COMPUTED_VALUE"""),"N")</f>
        <v>N</v>
      </c>
      <c r="D227" s="103">
        <f ca="1">IFERROR(__xludf.DUMMYFUNCTION("""COMPUTED_VALUE"""),288029973)</f>
        <v>288029973</v>
      </c>
      <c r="E227" s="103" t="str">
        <f ca="1">IFERROR(__xludf.DUMMYFUNCTION("""COMPUTED_VALUE"""),"Pacific-slope Flycatcher")</f>
        <v>Pacific-slope Flycatcher</v>
      </c>
      <c r="F227" s="103" t="str">
        <f ca="1">IFERROR(__xludf.DUMMYFUNCTION("""COMPUTED_VALUE"""),"PSFL")</f>
        <v>PSFL</v>
      </c>
      <c r="G227" s="103">
        <f ca="1">IFERROR(__xludf.DUMMYFUNCTION("""COMPUTED_VALUE"""),5)</f>
        <v>5</v>
      </c>
      <c r="H227" s="103" t="str">
        <f ca="1">IFERROR(__xludf.DUMMYFUNCTION("""COMPUTED_VALUE"""),"L")</f>
        <v>L</v>
      </c>
      <c r="I227" s="103"/>
      <c r="J227" s="103" t="str">
        <f ca="1">IFERROR(__xludf.DUMMYFUNCTION("""COMPUTED_VALUE"""),"SPB")</f>
        <v>SPB</v>
      </c>
      <c r="K227" s="103" t="str">
        <f ca="1">IFERROR(__xludf.DUMMYFUNCTION("""COMPUTED_VALUE"""),"F")</f>
        <v>F</v>
      </c>
      <c r="L227" s="103" t="str">
        <f ca="1">IFERROR(__xludf.DUMMYFUNCTION("""COMPUTED_VALUE"""),"B")</f>
        <v>B</v>
      </c>
      <c r="M227" s="103"/>
      <c r="N227" s="103"/>
      <c r="O227" s="103">
        <f ca="1">IFERROR(__xludf.DUMMYFUNCTION("""COMPUTED_VALUE"""),0)</f>
        <v>0</v>
      </c>
      <c r="P227" s="103">
        <f ca="1">IFERROR(__xludf.DUMMYFUNCTION("""COMPUTED_VALUE"""),2)</f>
        <v>2</v>
      </c>
      <c r="Q227" s="103">
        <f ca="1">IFERROR(__xludf.DUMMYFUNCTION("""COMPUTED_VALUE"""),1)</f>
        <v>1</v>
      </c>
      <c r="R227" s="103">
        <f ca="1">IFERROR(__xludf.DUMMYFUNCTION("""COMPUTED_VALUE"""),0)</f>
        <v>0</v>
      </c>
      <c r="S227" s="103" t="str">
        <f ca="1">IFERROR(__xludf.DUMMYFUNCTION("""COMPUTED_VALUE"""),"N")</f>
        <v>N</v>
      </c>
      <c r="T227" s="103">
        <f ca="1">IFERROR(__xludf.DUMMYFUNCTION("""COMPUTED_VALUE"""),4)</f>
        <v>4</v>
      </c>
      <c r="U227" s="103"/>
      <c r="V227" s="103"/>
      <c r="W227" s="103" t="str">
        <f ca="1">IFERROR(__xludf.DUMMYFUNCTION("""COMPUTED_VALUE"""),"M")</f>
        <v>M</v>
      </c>
      <c r="X227" s="103"/>
      <c r="Y227" s="103"/>
      <c r="Z227" s="103"/>
      <c r="AA227" s="103"/>
      <c r="AB227" s="103"/>
      <c r="AC227" s="103"/>
      <c r="AD227" s="103">
        <f ca="1">IFERROR(__xludf.DUMMYFUNCTION("""COMPUTED_VALUE"""),61)</f>
        <v>61</v>
      </c>
      <c r="AE227" s="103">
        <f ca="1">IFERROR(__xludf.DUMMYFUNCTION("""COMPUTED_VALUE"""),10.2)</f>
        <v>10.199999999999999</v>
      </c>
      <c r="AF227" s="103">
        <f ca="1">IFERROR(__xludf.DUMMYFUNCTION("""COMPUTED_VALUE"""),300)</f>
        <v>300</v>
      </c>
      <c r="AG227" s="103">
        <f ca="1">IFERROR(__xludf.DUMMYFUNCTION("""COMPUTED_VALUE"""),7)</f>
        <v>7</v>
      </c>
      <c r="AH227" s="103">
        <f ca="1">IFERROR(__xludf.DUMMYFUNCTION("""COMPUTED_VALUE"""),24)</f>
        <v>24</v>
      </c>
      <c r="AI227" s="103">
        <f ca="1">IFERROR(__xludf.DUMMYFUNCTION("""COMPUTED_VALUE"""),950)</f>
        <v>950</v>
      </c>
      <c r="AJ227" s="103" t="str">
        <f ca="1">IFERROR(__xludf.DUMMYFUNCTION("""COMPUTED_VALUE"""),"MORS")</f>
        <v>MORS</v>
      </c>
      <c r="AK227" s="103">
        <f ca="1">IFERROR(__xludf.DUMMYFUNCTION("""COMPUTED_VALUE"""),9)</f>
        <v>9</v>
      </c>
      <c r="AL227" s="103"/>
      <c r="AM227" s="103">
        <f ca="1">IFERROR(__xludf.DUMMYFUNCTION("""COMPUTED_VALUE"""),4)</f>
        <v>4</v>
      </c>
      <c r="AN227" s="103" t="str">
        <f ca="1">IFERROR(__xludf.DUMMYFUNCTION("""COMPUTED_VALUE"""),"sscovs in molt")</f>
        <v>sscovs in molt</v>
      </c>
      <c r="AO227" s="57">
        <f ca="1">IFERROR(__xludf.DUMMYFUNCTION("""COMPUTED_VALUE"""),0)</f>
        <v>0</v>
      </c>
      <c r="AP227" s="103">
        <f ca="1">IFERROR(__xludf.DUMMYFUNCTION("""COMPUTED_VALUE"""),2)</f>
        <v>2</v>
      </c>
    </row>
    <row r="228" spans="1:42">
      <c r="A228" s="103">
        <f ca="1">IFERROR(__xludf.DUMMYFUNCTION("""COMPUTED_VALUE"""),12)</f>
        <v>12</v>
      </c>
      <c r="B228" s="103" t="str">
        <f ca="1">IFERROR(__xludf.DUMMYFUNCTION("""COMPUTED_VALUE"""),"JSM")</f>
        <v>JSM</v>
      </c>
      <c r="C228" s="103" t="str">
        <f ca="1">IFERROR(__xludf.DUMMYFUNCTION("""COMPUTED_VALUE"""),"N")</f>
        <v>N</v>
      </c>
      <c r="D228" s="103">
        <f ca="1">IFERROR(__xludf.DUMMYFUNCTION("""COMPUTED_VALUE"""),288029975)</f>
        <v>288029975</v>
      </c>
      <c r="E228" s="103" t="str">
        <f ca="1">IFERROR(__xludf.DUMMYFUNCTION("""COMPUTED_VALUE"""),"Black-capped Chickadee")</f>
        <v>Black-capped Chickadee</v>
      </c>
      <c r="F228" s="103" t="str">
        <f ca="1">IFERROR(__xludf.DUMMYFUNCTION("""COMPUTED_VALUE"""),"BCCH")</f>
        <v>BCCH</v>
      </c>
      <c r="G228" s="103">
        <f ca="1">IFERROR(__xludf.DUMMYFUNCTION("""COMPUTED_VALUE"""),2)</f>
        <v>2</v>
      </c>
      <c r="H228" s="103" t="str">
        <f ca="1">IFERROR(__xludf.DUMMYFUNCTION("""COMPUTED_VALUE"""),"J")</f>
        <v>J</v>
      </c>
      <c r="I228" s="103"/>
      <c r="J228" s="103" t="str">
        <f ca="1">IFERROR(__xludf.DUMMYFUNCTION("""COMPUTED_VALUE"""),"FCJ")</f>
        <v>FCJ</v>
      </c>
      <c r="K228" s="103" t="str">
        <f ca="1">IFERROR(__xludf.DUMMYFUNCTION("""COMPUTED_VALUE"""),"U")</f>
        <v>U</v>
      </c>
      <c r="L228" s="103"/>
      <c r="M228" s="103"/>
      <c r="N228" s="103"/>
      <c r="O228" s="103">
        <f ca="1">IFERROR(__xludf.DUMMYFUNCTION("""COMPUTED_VALUE"""),0)</f>
        <v>0</v>
      </c>
      <c r="P228" s="103">
        <f ca="1">IFERROR(__xludf.DUMMYFUNCTION("""COMPUTED_VALUE"""),0)</f>
        <v>0</v>
      </c>
      <c r="Q228" s="103">
        <f ca="1">IFERROR(__xludf.DUMMYFUNCTION("""COMPUTED_VALUE"""),1)</f>
        <v>1</v>
      </c>
      <c r="R228" s="103">
        <f ca="1">IFERROR(__xludf.DUMMYFUNCTION("""COMPUTED_VALUE"""),0)</f>
        <v>0</v>
      </c>
      <c r="S228" s="103" t="str">
        <f ca="1">IFERROR(__xludf.DUMMYFUNCTION("""COMPUTED_VALUE"""),"N")</f>
        <v>N</v>
      </c>
      <c r="T228" s="103">
        <f ca="1">IFERROR(__xludf.DUMMYFUNCTION("""COMPUTED_VALUE"""),1)</f>
        <v>1</v>
      </c>
      <c r="U228" s="103">
        <f ca="1">IFERROR(__xludf.DUMMYFUNCTION("""COMPUTED_VALUE"""),3)</f>
        <v>3</v>
      </c>
      <c r="V228" s="103"/>
      <c r="W228" s="103"/>
      <c r="X228" s="103"/>
      <c r="Y228" s="103"/>
      <c r="Z228" s="103"/>
      <c r="AA228" s="103" t="str">
        <f ca="1">IFERROR(__xludf.DUMMYFUNCTION("""COMPUTED_VALUE"""),"J")</f>
        <v>J</v>
      </c>
      <c r="AB228" s="103"/>
      <c r="AC228" s="103"/>
      <c r="AD228" s="103">
        <f ca="1">IFERROR(__xludf.DUMMYFUNCTION("""COMPUTED_VALUE"""),61)</f>
        <v>61</v>
      </c>
      <c r="AE228" s="103">
        <f ca="1">IFERROR(__xludf.DUMMYFUNCTION("""COMPUTED_VALUE"""),11.8)</f>
        <v>11.8</v>
      </c>
      <c r="AF228" s="103">
        <f ca="1">IFERROR(__xludf.DUMMYFUNCTION("""COMPUTED_VALUE"""),300)</f>
        <v>300</v>
      </c>
      <c r="AG228" s="103">
        <f ca="1">IFERROR(__xludf.DUMMYFUNCTION("""COMPUTED_VALUE"""),7)</f>
        <v>7</v>
      </c>
      <c r="AH228" s="103">
        <f ca="1">IFERROR(__xludf.DUMMYFUNCTION("""COMPUTED_VALUE"""),24)</f>
        <v>24</v>
      </c>
      <c r="AI228" s="103">
        <f ca="1">IFERROR(__xludf.DUMMYFUNCTION("""COMPUTED_VALUE"""),1030)</f>
        <v>1030</v>
      </c>
      <c r="AJ228" s="103" t="str">
        <f ca="1">IFERROR(__xludf.DUMMYFUNCTION("""COMPUTED_VALUE"""),"MORS")</f>
        <v>MORS</v>
      </c>
      <c r="AK228" s="103">
        <f ca="1">IFERROR(__xludf.DUMMYFUNCTION("""COMPUTED_VALUE"""),5)</f>
        <v>5</v>
      </c>
      <c r="AL228" s="103"/>
      <c r="AM228" s="103"/>
      <c r="AN228" s="103"/>
      <c r="AO228" s="57">
        <f ca="1">IFERROR(__xludf.DUMMYFUNCTION("""COMPUTED_VALUE"""),0)</f>
        <v>0</v>
      </c>
      <c r="AP228" s="103">
        <f ca="1">IFERROR(__xludf.DUMMYFUNCTION("""COMPUTED_VALUE"""),2)</f>
        <v>2</v>
      </c>
    </row>
    <row r="229" spans="1:42">
      <c r="A229" s="103">
        <f ca="1">IFERROR(__xludf.DUMMYFUNCTION("""COMPUTED_VALUE"""),13)</f>
        <v>13</v>
      </c>
      <c r="B229" s="103" t="str">
        <f ca="1">IFERROR(__xludf.DUMMYFUNCTION("""COMPUTED_VALUE"""),"JSM")</f>
        <v>JSM</v>
      </c>
      <c r="C229" s="103" t="str">
        <f ca="1">IFERROR(__xludf.DUMMYFUNCTION("""COMPUTED_VALUE"""),"N")</f>
        <v>N</v>
      </c>
      <c r="D229" s="103">
        <f ca="1">IFERROR(__xludf.DUMMYFUNCTION("""COMPUTED_VALUE"""),172176265)</f>
        <v>172176265</v>
      </c>
      <c r="E229" s="103" t="str">
        <f ca="1">IFERROR(__xludf.DUMMYFUNCTION("""COMPUTED_VALUE"""),"Song Sparrow")</f>
        <v>Song Sparrow</v>
      </c>
      <c r="F229" s="103" t="str">
        <f ca="1">IFERROR(__xludf.DUMMYFUNCTION("""COMPUTED_VALUE"""),"SOSP")</f>
        <v>SOSP</v>
      </c>
      <c r="G229" s="103">
        <f ca="1">IFERROR(__xludf.DUMMYFUNCTION("""COMPUTED_VALUE"""),2)</f>
        <v>2</v>
      </c>
      <c r="H229" s="103" t="str">
        <f ca="1">IFERROR(__xludf.DUMMYFUNCTION("""COMPUTED_VALUE"""),"J")</f>
        <v>J</v>
      </c>
      <c r="I229" s="103"/>
      <c r="J229" s="103" t="str">
        <f ca="1">IFERROR(__xludf.DUMMYFUNCTION("""COMPUTED_VALUE"""),"FPF")</f>
        <v>FPF</v>
      </c>
      <c r="K229" s="103" t="str">
        <f ca="1">IFERROR(__xludf.DUMMYFUNCTION("""COMPUTED_VALUE"""),"U")</f>
        <v>U</v>
      </c>
      <c r="L229" s="103"/>
      <c r="M229" s="103"/>
      <c r="N229" s="103"/>
      <c r="O229" s="103">
        <f ca="1">IFERROR(__xludf.DUMMYFUNCTION("""COMPUTED_VALUE"""),0)</f>
        <v>0</v>
      </c>
      <c r="P229" s="103">
        <f ca="1">IFERROR(__xludf.DUMMYFUNCTION("""COMPUTED_VALUE"""),0)</f>
        <v>0</v>
      </c>
      <c r="Q229" s="103">
        <f ca="1">IFERROR(__xludf.DUMMYFUNCTION("""COMPUTED_VALUE"""),1)</f>
        <v>1</v>
      </c>
      <c r="R229" s="103">
        <f ca="1">IFERROR(__xludf.DUMMYFUNCTION("""COMPUTED_VALUE"""),1)</f>
        <v>1</v>
      </c>
      <c r="S229" s="103" t="str">
        <f ca="1">IFERROR(__xludf.DUMMYFUNCTION("""COMPUTED_VALUE"""),"N")</f>
        <v>N</v>
      </c>
      <c r="T229" s="103">
        <f ca="1">IFERROR(__xludf.DUMMYFUNCTION("""COMPUTED_VALUE"""),1)</f>
        <v>1</v>
      </c>
      <c r="U229" s="103">
        <f ca="1">IFERROR(__xludf.DUMMYFUNCTION("""COMPUTED_VALUE"""),3)</f>
        <v>3</v>
      </c>
      <c r="V229" s="103"/>
      <c r="W229" s="103"/>
      <c r="X229" s="103"/>
      <c r="Y229" s="103"/>
      <c r="Z229" s="103"/>
      <c r="AA229" s="103"/>
      <c r="AB229" s="103"/>
      <c r="AC229" s="103"/>
      <c r="AD229" s="103">
        <f ca="1">IFERROR(__xludf.DUMMYFUNCTION("""COMPUTED_VALUE"""),61)</f>
        <v>61</v>
      </c>
      <c r="AE229" s="103">
        <f ca="1">IFERROR(__xludf.DUMMYFUNCTION("""COMPUTED_VALUE"""),22.6)</f>
        <v>22.6</v>
      </c>
      <c r="AF229" s="103">
        <f ca="1">IFERROR(__xludf.DUMMYFUNCTION("""COMPUTED_VALUE"""),300)</f>
        <v>300</v>
      </c>
      <c r="AG229" s="103">
        <f ca="1">IFERROR(__xludf.DUMMYFUNCTION("""COMPUTED_VALUE"""),7)</f>
        <v>7</v>
      </c>
      <c r="AH229" s="103">
        <f ca="1">IFERROR(__xludf.DUMMYFUNCTION("""COMPUTED_VALUE"""),24)</f>
        <v>24</v>
      </c>
      <c r="AI229" s="103">
        <f ca="1">IFERROR(__xludf.DUMMYFUNCTION("""COMPUTED_VALUE"""),1030)</f>
        <v>1030</v>
      </c>
      <c r="AJ229" s="103" t="str">
        <f ca="1">IFERROR(__xludf.DUMMYFUNCTION("""COMPUTED_VALUE"""),"MORS")</f>
        <v>MORS</v>
      </c>
      <c r="AK229" s="103">
        <f ca="1">IFERROR(__xludf.DUMMYFUNCTION("""COMPUTED_VALUE"""),20)</f>
        <v>20</v>
      </c>
      <c r="AL229" s="103"/>
      <c r="AM229" s="103"/>
      <c r="AN229" s="103"/>
      <c r="AO229" s="57" t="str">
        <f ca="1">IFERROR(__xludf.DUMMYFUNCTION("""COMPUTED_VALUE"""),"1B")</f>
        <v>1B</v>
      </c>
      <c r="AP229" s="103">
        <f ca="1">IFERROR(__xludf.DUMMYFUNCTION("""COMPUTED_VALUE"""),2)</f>
        <v>2</v>
      </c>
    </row>
    <row r="230" spans="1:42">
      <c r="A230" s="103">
        <f ca="1">IFERROR(__xludf.DUMMYFUNCTION("""COMPUTED_VALUE"""),1)</f>
        <v>1</v>
      </c>
      <c r="B230" s="103" t="str">
        <f ca="1">IFERROR(__xludf.DUMMYFUNCTION("""COMPUTED_VALUE"""),"ACC")</f>
        <v>ACC</v>
      </c>
      <c r="C230" s="103" t="str">
        <f ca="1">IFERROR(__xludf.DUMMYFUNCTION("""COMPUTED_VALUE"""),"N")</f>
        <v>N</v>
      </c>
      <c r="D230" s="103">
        <f ca="1">IFERROR(__xludf.DUMMYFUNCTION("""COMPUTED_VALUE"""),172176254)</f>
        <v>172176254</v>
      </c>
      <c r="E230" s="103" t="str">
        <f ca="1">IFERROR(__xludf.DUMMYFUNCTION("""COMPUTED_VALUE"""),"Swainson's Thrush")</f>
        <v>Swainson's Thrush</v>
      </c>
      <c r="F230" s="103" t="str">
        <f ca="1">IFERROR(__xludf.DUMMYFUNCTION("""COMPUTED_VALUE"""),"SWTH")</f>
        <v>SWTH</v>
      </c>
      <c r="G230" s="103">
        <f ca="1">IFERROR(__xludf.DUMMYFUNCTION("""COMPUTED_VALUE"""),2)</f>
        <v>2</v>
      </c>
      <c r="H230" s="103" t="str">
        <f ca="1">IFERROR(__xludf.DUMMYFUNCTION("""COMPUTED_VALUE"""),"P")</f>
        <v>P</v>
      </c>
      <c r="I230" s="103"/>
      <c r="J230" s="103" t="str">
        <f ca="1">IFERROR(__xludf.DUMMYFUNCTION("""COMPUTED_VALUE"""),"FCJ")</f>
        <v>FCJ</v>
      </c>
      <c r="K230" s="103" t="str">
        <f ca="1">IFERROR(__xludf.DUMMYFUNCTION("""COMPUTED_VALUE"""),"U")</f>
        <v>U</v>
      </c>
      <c r="L230" s="103"/>
      <c r="M230" s="103"/>
      <c r="N230" s="103">
        <f ca="1">IFERROR(__xludf.DUMMYFUNCTION("""COMPUTED_VALUE"""),2)</f>
        <v>2</v>
      </c>
      <c r="O230" s="103">
        <f ca="1">IFERROR(__xludf.DUMMYFUNCTION("""COMPUTED_VALUE"""),0)</f>
        <v>0</v>
      </c>
      <c r="P230" s="103">
        <f ca="1">IFERROR(__xludf.DUMMYFUNCTION("""COMPUTED_VALUE"""),0)</f>
        <v>0</v>
      </c>
      <c r="Q230" s="103">
        <f ca="1">IFERROR(__xludf.DUMMYFUNCTION("""COMPUTED_VALUE"""),0)</f>
        <v>0</v>
      </c>
      <c r="R230" s="103">
        <f ca="1">IFERROR(__xludf.DUMMYFUNCTION("""COMPUTED_VALUE"""),2)</f>
        <v>2</v>
      </c>
      <c r="S230" s="103" t="str">
        <f ca="1">IFERROR(__xludf.DUMMYFUNCTION("""COMPUTED_VALUE"""),"N")</f>
        <v>N</v>
      </c>
      <c r="T230" s="103">
        <f ca="1">IFERROR(__xludf.DUMMYFUNCTION("""COMPUTED_VALUE"""),1)</f>
        <v>1</v>
      </c>
      <c r="U230" s="103">
        <f ca="1">IFERROR(__xludf.DUMMYFUNCTION("""COMPUTED_VALUE"""),2)</f>
        <v>2</v>
      </c>
      <c r="V230" s="103"/>
      <c r="W230" s="103"/>
      <c r="X230" s="103"/>
      <c r="Y230" s="103"/>
      <c r="Z230" s="103"/>
      <c r="AA230" s="103"/>
      <c r="AB230" s="103"/>
      <c r="AC230" s="103"/>
      <c r="AD230" s="103">
        <f ca="1">IFERROR(__xludf.DUMMYFUNCTION("""COMPUTED_VALUE"""),88)</f>
        <v>88</v>
      </c>
      <c r="AE230" s="103">
        <f ca="1">IFERROR(__xludf.DUMMYFUNCTION("""COMPUTED_VALUE"""),27.6)</f>
        <v>27.6</v>
      </c>
      <c r="AF230" s="103">
        <f ca="1">IFERROR(__xludf.DUMMYFUNCTION("""COMPUTED_VALUE"""),300)</f>
        <v>300</v>
      </c>
      <c r="AG230" s="103">
        <f ca="1">IFERROR(__xludf.DUMMYFUNCTION("""COMPUTED_VALUE"""),7)</f>
        <v>7</v>
      </c>
      <c r="AH230" s="103">
        <f ca="1">IFERROR(__xludf.DUMMYFUNCTION("""COMPUTED_VALUE"""),24)</f>
        <v>24</v>
      </c>
      <c r="AI230" s="103">
        <f ca="1">IFERROR(__xludf.DUMMYFUNCTION("""COMPUTED_VALUE"""),620)</f>
        <v>620</v>
      </c>
      <c r="AJ230" s="103" t="str">
        <f ca="1">IFERROR(__xludf.DUMMYFUNCTION("""COMPUTED_VALUE"""),"MORS")</f>
        <v>MORS</v>
      </c>
      <c r="AK230" s="103">
        <f ca="1">IFERROR(__xludf.DUMMYFUNCTION("""COMPUTED_VALUE"""),15)</f>
        <v>15</v>
      </c>
      <c r="AL230" s="103"/>
      <c r="AM230" s="103"/>
      <c r="AN230" s="103"/>
      <c r="AO230" s="57" t="str">
        <f ca="1">IFERROR(__xludf.DUMMYFUNCTION("""COMPUTED_VALUE"""),"1B")</f>
        <v>1B</v>
      </c>
      <c r="AP230" s="103">
        <f ca="1">IFERROR(__xludf.DUMMYFUNCTION("""COMPUTED_VALUE"""),3)</f>
        <v>3</v>
      </c>
    </row>
    <row r="231" spans="1:42">
      <c r="A231" s="103">
        <f ca="1">IFERROR(__xludf.DUMMYFUNCTION("""COMPUTED_VALUE"""),2)</f>
        <v>2</v>
      </c>
      <c r="B231" s="103" t="str">
        <f ca="1">IFERROR(__xludf.DUMMYFUNCTION("""COMPUTED_VALUE"""),"ACC")</f>
        <v>ACC</v>
      </c>
      <c r="C231" s="103" t="str">
        <f ca="1">IFERROR(__xludf.DUMMYFUNCTION("""COMPUTED_VALUE"""),"N")</f>
        <v>N</v>
      </c>
      <c r="D231" s="103">
        <f ca="1">IFERROR(__xludf.DUMMYFUNCTION("""COMPUTED_VALUE"""),281191246)</f>
        <v>281191246</v>
      </c>
      <c r="E231" s="103" t="str">
        <f ca="1">IFERROR(__xludf.DUMMYFUNCTION("""COMPUTED_VALUE"""),"Bewick's Wren")</f>
        <v>Bewick's Wren</v>
      </c>
      <c r="F231" s="103" t="str">
        <f ca="1">IFERROR(__xludf.DUMMYFUNCTION("""COMPUTED_VALUE"""),"BEWR")</f>
        <v>BEWR</v>
      </c>
      <c r="G231" s="103">
        <f ca="1">IFERROR(__xludf.DUMMYFUNCTION("""COMPUTED_VALUE"""),2)</f>
        <v>2</v>
      </c>
      <c r="H231" s="103" t="str">
        <f ca="1">IFERROR(__xludf.DUMMYFUNCTION("""COMPUTED_VALUE"""),"P")</f>
        <v>P</v>
      </c>
      <c r="I231" s="103"/>
      <c r="J231" s="103" t="str">
        <f ca="1">IFERROR(__xludf.DUMMYFUNCTION("""COMPUTED_VALUE"""),"FCJ")</f>
        <v>FCJ</v>
      </c>
      <c r="K231" s="103" t="str">
        <f ca="1">IFERROR(__xludf.DUMMYFUNCTION("""COMPUTED_VALUE"""),"U")</f>
        <v>U</v>
      </c>
      <c r="L231" s="103"/>
      <c r="M231" s="103"/>
      <c r="N231" s="103">
        <f ca="1">IFERROR(__xludf.DUMMYFUNCTION("""COMPUTED_VALUE"""),3)</f>
        <v>3</v>
      </c>
      <c r="O231" s="103">
        <f ca="1">IFERROR(__xludf.DUMMYFUNCTION("""COMPUTED_VALUE"""),0)</f>
        <v>0</v>
      </c>
      <c r="P231" s="103">
        <f ca="1">IFERROR(__xludf.DUMMYFUNCTION("""COMPUTED_VALUE"""),0)</f>
        <v>0</v>
      </c>
      <c r="Q231" s="103">
        <f ca="1">IFERROR(__xludf.DUMMYFUNCTION("""COMPUTED_VALUE"""),1)</f>
        <v>1</v>
      </c>
      <c r="R231" s="103">
        <f ca="1">IFERROR(__xludf.DUMMYFUNCTION("""COMPUTED_VALUE"""),0)</f>
        <v>0</v>
      </c>
      <c r="S231" s="103" t="str">
        <f ca="1">IFERROR(__xludf.DUMMYFUNCTION("""COMPUTED_VALUE"""),"N")</f>
        <v>N</v>
      </c>
      <c r="T231" s="103">
        <f ca="1">IFERROR(__xludf.DUMMYFUNCTION("""COMPUTED_VALUE"""),2)</f>
        <v>2</v>
      </c>
      <c r="U231" s="103">
        <f ca="1">IFERROR(__xludf.DUMMYFUNCTION("""COMPUTED_VALUE"""),3)</f>
        <v>3</v>
      </c>
      <c r="V231" s="103"/>
      <c r="W231" s="103"/>
      <c r="X231" s="103"/>
      <c r="Y231" s="103"/>
      <c r="Z231" s="103" t="str">
        <f ca="1">IFERROR(__xludf.DUMMYFUNCTION("""COMPUTED_VALUE"""),"J")</f>
        <v>J</v>
      </c>
      <c r="AA231" s="103"/>
      <c r="AB231" s="103"/>
      <c r="AC231" s="103"/>
      <c r="AD231" s="103">
        <f ca="1">IFERROR(__xludf.DUMMYFUNCTION("""COMPUTED_VALUE"""),51)</f>
        <v>51</v>
      </c>
      <c r="AE231" s="103">
        <f ca="1">IFERROR(__xludf.DUMMYFUNCTION("""COMPUTED_VALUE"""),11.8)</f>
        <v>11.8</v>
      </c>
      <c r="AF231" s="103">
        <f ca="1">IFERROR(__xludf.DUMMYFUNCTION("""COMPUTED_VALUE"""),300)</f>
        <v>300</v>
      </c>
      <c r="AG231" s="103">
        <f ca="1">IFERROR(__xludf.DUMMYFUNCTION("""COMPUTED_VALUE"""),7)</f>
        <v>7</v>
      </c>
      <c r="AH231" s="103">
        <f ca="1">IFERROR(__xludf.DUMMYFUNCTION("""COMPUTED_VALUE"""),24)</f>
        <v>24</v>
      </c>
      <c r="AI231" s="103">
        <f ca="1">IFERROR(__xludf.DUMMYFUNCTION("""COMPUTED_VALUE"""),7)</f>
        <v>7</v>
      </c>
      <c r="AJ231" s="103" t="str">
        <f ca="1">IFERROR(__xludf.DUMMYFUNCTION("""COMPUTED_VALUE"""),"MORS")</f>
        <v>MORS</v>
      </c>
      <c r="AK231" s="103">
        <f ca="1">IFERROR(__xludf.DUMMYFUNCTION("""COMPUTED_VALUE"""),5)</f>
        <v>5</v>
      </c>
      <c r="AL231" s="103"/>
      <c r="AM231" s="103"/>
      <c r="AN231" s="103"/>
      <c r="AO231" s="57">
        <f ca="1">IFERROR(__xludf.DUMMYFUNCTION("""COMPUTED_VALUE"""),1)</f>
        <v>1</v>
      </c>
      <c r="AP231" s="103">
        <f ca="1">IFERROR(__xludf.DUMMYFUNCTION("""COMPUTED_VALUE"""),3)</f>
        <v>3</v>
      </c>
    </row>
    <row r="232" spans="1:42">
      <c r="A232" s="103">
        <f ca="1">IFERROR(__xludf.DUMMYFUNCTION("""COMPUTED_VALUE"""),3)</f>
        <v>3</v>
      </c>
      <c r="B232" s="103" t="str">
        <f ca="1">IFERROR(__xludf.DUMMYFUNCTION("""COMPUTED_VALUE"""),"ACC")</f>
        <v>ACC</v>
      </c>
      <c r="C232" s="103" t="str">
        <f ca="1">IFERROR(__xludf.DUMMYFUNCTION("""COMPUTED_VALUE"""),"R")</f>
        <v>R</v>
      </c>
      <c r="D232" s="103">
        <f ca="1">IFERROR(__xludf.DUMMYFUNCTION("""COMPUTED_VALUE"""),804191913)</f>
        <v>804191913</v>
      </c>
      <c r="E232" s="103" t="str">
        <f ca="1">IFERROR(__xludf.DUMMYFUNCTION("""COMPUTED_VALUE"""),"Spotted Towhee")</f>
        <v>Spotted Towhee</v>
      </c>
      <c r="F232" s="103" t="str">
        <f ca="1">IFERROR(__xludf.DUMMYFUNCTION("""COMPUTED_VALUE"""),"SPTO")</f>
        <v>SPTO</v>
      </c>
      <c r="G232" s="103">
        <f ca="1">IFERROR(__xludf.DUMMYFUNCTION("""COMPUTED_VALUE"""),1)</f>
        <v>1</v>
      </c>
      <c r="H232" s="103" t="str">
        <f ca="1">IFERROR(__xludf.DUMMYFUNCTION("""COMPUTED_VALUE"""),"P")</f>
        <v>P</v>
      </c>
      <c r="I232" s="103"/>
      <c r="J232" s="103" t="str">
        <f ca="1">IFERROR(__xludf.DUMMYFUNCTION("""COMPUTED_VALUE"""),"FAJ")</f>
        <v>FAJ</v>
      </c>
      <c r="K232" s="103" t="str">
        <f ca="1">IFERROR(__xludf.DUMMYFUNCTION("""COMPUTED_VALUE"""),"F")</f>
        <v>F</v>
      </c>
      <c r="L232" s="103" t="str">
        <f ca="1">IFERROR(__xludf.DUMMYFUNCTION("""COMPUTED_VALUE"""),"C")</f>
        <v>C</v>
      </c>
      <c r="M232" s="103" t="str">
        <f ca="1">IFERROR(__xludf.DUMMYFUNCTION("""COMPUTED_VALUE"""),"P")</f>
        <v>P</v>
      </c>
      <c r="N232" s="103"/>
      <c r="O232" s="103">
        <f ca="1">IFERROR(__xludf.DUMMYFUNCTION("""COMPUTED_VALUE"""),0)</f>
        <v>0</v>
      </c>
      <c r="P232" s="103">
        <f ca="1">IFERROR(__xludf.DUMMYFUNCTION("""COMPUTED_VALUE"""),1)</f>
        <v>1</v>
      </c>
      <c r="Q232" s="103">
        <f ca="1">IFERROR(__xludf.DUMMYFUNCTION("""COMPUTED_VALUE"""),0)</f>
        <v>0</v>
      </c>
      <c r="R232" s="103">
        <f ca="1">IFERROR(__xludf.DUMMYFUNCTION("""COMPUTED_VALUE"""),0)</f>
        <v>0</v>
      </c>
      <c r="S232" s="103" t="str">
        <f ca="1">IFERROR(__xludf.DUMMYFUNCTION("""COMPUTED_VALUE"""),"N")</f>
        <v>N</v>
      </c>
      <c r="T232" s="103">
        <f ca="1">IFERROR(__xludf.DUMMYFUNCTION("""COMPUTED_VALUE"""),4)</f>
        <v>4</v>
      </c>
      <c r="U232" s="103"/>
      <c r="V232" s="103"/>
      <c r="W232" s="103"/>
      <c r="X232" s="103"/>
      <c r="Y232" s="103"/>
      <c r="Z232" s="103" t="str">
        <f ca="1">IFERROR(__xludf.DUMMYFUNCTION("""COMPUTED_VALUE"""),"J")</f>
        <v>J</v>
      </c>
      <c r="AA232" s="103"/>
      <c r="AB232" s="103"/>
      <c r="AC232" s="103"/>
      <c r="AD232" s="103">
        <f ca="1">IFERROR(__xludf.DUMMYFUNCTION("""COMPUTED_VALUE"""),84)</f>
        <v>84</v>
      </c>
      <c r="AE232" s="103"/>
      <c r="AF232" s="103">
        <f ca="1">IFERROR(__xludf.DUMMYFUNCTION("""COMPUTED_VALUE"""),300)</f>
        <v>300</v>
      </c>
      <c r="AG232" s="103">
        <f ca="1">IFERROR(__xludf.DUMMYFUNCTION("""COMPUTED_VALUE"""),7)</f>
        <v>7</v>
      </c>
      <c r="AH232" s="103">
        <f ca="1">IFERROR(__xludf.DUMMYFUNCTION("""COMPUTED_VALUE"""),24)</f>
        <v>24</v>
      </c>
      <c r="AI232" s="103">
        <f ca="1">IFERROR(__xludf.DUMMYFUNCTION("""COMPUTED_VALUE"""),740)</f>
        <v>740</v>
      </c>
      <c r="AJ232" s="103" t="str">
        <f ca="1">IFERROR(__xludf.DUMMYFUNCTION("""COMPUTED_VALUE"""),"MORS")</f>
        <v>MORS</v>
      </c>
      <c r="AK232" s="103">
        <f ca="1">IFERROR(__xludf.DUMMYFUNCTION("""COMPUTED_VALUE"""),14)</f>
        <v>14</v>
      </c>
      <c r="AL232" s="103"/>
      <c r="AM232" s="103">
        <f ca="1">IFERROR(__xludf.DUMMYFUNCTION("""COMPUTED_VALUE"""),1)</f>
        <v>1</v>
      </c>
      <c r="AN232" s="103" t="str">
        <f ca="1">IFERROR(__xludf.DUMMYFUNCTION("""COMPUTED_VALUE"""),"Rects missing, 1 in pin. Eye bright red")</f>
        <v>Rects missing, 1 in pin. Eye bright red</v>
      </c>
      <c r="AO232" s="57" t="str">
        <f ca="1">IFERROR(__xludf.DUMMYFUNCTION("""COMPUTED_VALUE"""),"R")</f>
        <v>R</v>
      </c>
      <c r="AP232" s="103">
        <f ca="1">IFERROR(__xludf.DUMMYFUNCTION("""COMPUTED_VALUE"""),3)</f>
        <v>3</v>
      </c>
    </row>
    <row r="233" spans="1:42">
      <c r="A233" s="103">
        <f ca="1">IFERROR(__xludf.DUMMYFUNCTION("""COMPUTED_VALUE"""),4)</f>
        <v>4</v>
      </c>
      <c r="B233" s="103" t="str">
        <f ca="1">IFERROR(__xludf.DUMMYFUNCTION("""COMPUTED_VALUE"""),"ACC")</f>
        <v>ACC</v>
      </c>
      <c r="C233" s="103" t="str">
        <f ca="1">IFERROR(__xludf.DUMMYFUNCTION("""COMPUTED_VALUE"""),"N")</f>
        <v>N</v>
      </c>
      <c r="D233" s="103">
        <f ca="1">IFERROR(__xludf.DUMMYFUNCTION("""COMPUTED_VALUE"""),288029970)</f>
        <v>288029970</v>
      </c>
      <c r="E233" s="103" t="str">
        <f ca="1">IFERROR(__xludf.DUMMYFUNCTION("""COMPUTED_VALUE"""),"Common Yellowthroat")</f>
        <v>Common Yellowthroat</v>
      </c>
      <c r="F233" s="103" t="str">
        <f ca="1">IFERROR(__xludf.DUMMYFUNCTION("""COMPUTED_VALUE"""),"COYE")</f>
        <v>COYE</v>
      </c>
      <c r="G233" s="103">
        <f ca="1">IFERROR(__xludf.DUMMYFUNCTION("""COMPUTED_VALUE"""),2)</f>
        <v>2</v>
      </c>
      <c r="H233" s="103" t="str">
        <f ca="1">IFERROR(__xludf.DUMMYFUNCTION("""COMPUTED_VALUE"""),"P")</f>
        <v>P</v>
      </c>
      <c r="I233" s="103"/>
      <c r="J233" s="103" t="str">
        <f ca="1">IFERROR(__xludf.DUMMYFUNCTION("""COMPUTED_VALUE"""),"FCJ")</f>
        <v>FCJ</v>
      </c>
      <c r="K233" s="103" t="str">
        <f ca="1">IFERROR(__xludf.DUMMYFUNCTION("""COMPUTED_VALUE"""),"U")</f>
        <v>U</v>
      </c>
      <c r="L233" s="103"/>
      <c r="M233" s="103"/>
      <c r="N233" s="103">
        <f ca="1">IFERROR(__xludf.DUMMYFUNCTION("""COMPUTED_VALUE"""),1)</f>
        <v>1</v>
      </c>
      <c r="O233" s="103">
        <f ca="1">IFERROR(__xludf.DUMMYFUNCTION("""COMPUTED_VALUE"""),0)</f>
        <v>0</v>
      </c>
      <c r="P233" s="103">
        <f ca="1">IFERROR(__xludf.DUMMYFUNCTION("""COMPUTED_VALUE"""),0)</f>
        <v>0</v>
      </c>
      <c r="Q233" s="103">
        <f ca="1">IFERROR(__xludf.DUMMYFUNCTION("""COMPUTED_VALUE"""),3)</f>
        <v>3</v>
      </c>
      <c r="R233" s="103">
        <f ca="1">IFERROR(__xludf.DUMMYFUNCTION("""COMPUTED_VALUE"""),0)</f>
        <v>0</v>
      </c>
      <c r="S233" s="103" t="str">
        <f ca="1">IFERROR(__xludf.DUMMYFUNCTION("""COMPUTED_VALUE"""),"N")</f>
        <v>N</v>
      </c>
      <c r="T233" s="103">
        <f ca="1">IFERROR(__xludf.DUMMYFUNCTION("""COMPUTED_VALUE"""),0)</f>
        <v>0</v>
      </c>
      <c r="U233" s="103">
        <f ca="1">IFERROR(__xludf.DUMMYFUNCTION("""COMPUTED_VALUE"""),3)</f>
        <v>3</v>
      </c>
      <c r="V233" s="103"/>
      <c r="W233" s="103"/>
      <c r="X233" s="103" t="str">
        <f ca="1">IFERROR(__xludf.DUMMYFUNCTION("""COMPUTED_VALUE"""),"J")</f>
        <v>J</v>
      </c>
      <c r="Y233" s="103"/>
      <c r="Z233" s="103"/>
      <c r="AA233" s="103" t="str">
        <f ca="1">IFERROR(__xludf.DUMMYFUNCTION("""COMPUTED_VALUE"""),"J")</f>
        <v>J</v>
      </c>
      <c r="AB233" s="103" t="str">
        <f ca="1">IFERROR(__xludf.DUMMYFUNCTION("""COMPUTED_VALUE"""),"J")</f>
        <v>J</v>
      </c>
      <c r="AC233" s="103"/>
      <c r="AD233" s="103">
        <f ca="1">IFERROR(__xludf.DUMMYFUNCTION("""COMPUTED_VALUE"""),48)</f>
        <v>48</v>
      </c>
      <c r="AE233" s="103">
        <f ca="1">IFERROR(__xludf.DUMMYFUNCTION("""COMPUTED_VALUE"""),9.2)</f>
        <v>9.1999999999999993</v>
      </c>
      <c r="AF233" s="103">
        <f ca="1">IFERROR(__xludf.DUMMYFUNCTION("""COMPUTED_VALUE"""),300)</f>
        <v>300</v>
      </c>
      <c r="AG233" s="103">
        <f ca="1">IFERROR(__xludf.DUMMYFUNCTION("""COMPUTED_VALUE"""),7)</f>
        <v>7</v>
      </c>
      <c r="AH233" s="103">
        <f ca="1">IFERROR(__xludf.DUMMYFUNCTION("""COMPUTED_VALUE"""),24)</f>
        <v>24</v>
      </c>
      <c r="AI233" s="103">
        <f ca="1">IFERROR(__xludf.DUMMYFUNCTION("""COMPUTED_VALUE"""),810)</f>
        <v>810</v>
      </c>
      <c r="AJ233" s="103" t="str">
        <f ca="1">IFERROR(__xludf.DUMMYFUNCTION("""COMPUTED_VALUE"""),"MORS")</f>
        <v>MORS</v>
      </c>
      <c r="AK233" s="103">
        <f ca="1">IFERROR(__xludf.DUMMYFUNCTION("""COMPUTED_VALUE"""),21)</f>
        <v>21</v>
      </c>
      <c r="AL233" s="103"/>
      <c r="AM233" s="103"/>
      <c r="AN233" s="103"/>
      <c r="AO233" s="57">
        <f ca="1">IFERROR(__xludf.DUMMYFUNCTION("""COMPUTED_VALUE"""),0)</f>
        <v>0</v>
      </c>
      <c r="AP233" s="103">
        <f ca="1">IFERROR(__xludf.DUMMYFUNCTION("""COMPUTED_VALUE"""),3)</f>
        <v>3</v>
      </c>
    </row>
    <row r="234" spans="1:42">
      <c r="A234" s="103">
        <f ca="1">IFERROR(__xludf.DUMMYFUNCTION("""COMPUTED_VALUE"""),5)</f>
        <v>5</v>
      </c>
      <c r="B234" s="103" t="str">
        <f ca="1">IFERROR(__xludf.DUMMYFUNCTION("""COMPUTED_VALUE"""),"ACC")</f>
        <v>ACC</v>
      </c>
      <c r="C234" s="103" t="str">
        <f ca="1">IFERROR(__xludf.DUMMYFUNCTION("""COMPUTED_VALUE"""),"R")</f>
        <v>R</v>
      </c>
      <c r="D234" s="103">
        <f ca="1">IFERROR(__xludf.DUMMYFUNCTION("""COMPUTED_VALUE"""),135291867)</f>
        <v>135291867</v>
      </c>
      <c r="E234" s="103" t="str">
        <f ca="1">IFERROR(__xludf.DUMMYFUNCTION("""COMPUTED_VALUE"""),"Spotted Towhee")</f>
        <v>Spotted Towhee</v>
      </c>
      <c r="F234" s="103" t="str">
        <f ca="1">IFERROR(__xludf.DUMMYFUNCTION("""COMPUTED_VALUE"""),"SPTO")</f>
        <v>SPTO</v>
      </c>
      <c r="G234" s="103">
        <f ca="1">IFERROR(__xludf.DUMMYFUNCTION("""COMPUTED_VALUE"""),5)</f>
        <v>5</v>
      </c>
      <c r="H234" s="103" t="str">
        <f ca="1">IFERROR(__xludf.DUMMYFUNCTION("""COMPUTED_VALUE"""),"P")</f>
        <v>P</v>
      </c>
      <c r="I234" s="103"/>
      <c r="J234" s="103" t="str">
        <f ca="1">IFERROR(__xludf.DUMMYFUNCTION("""COMPUTED_VALUE"""),"SPB")</f>
        <v>SPB</v>
      </c>
      <c r="K234" s="103" t="str">
        <f ca="1">IFERROR(__xludf.DUMMYFUNCTION("""COMPUTED_VALUE"""),"U")</f>
        <v>U</v>
      </c>
      <c r="L234" s="103"/>
      <c r="M234" s="103"/>
      <c r="N234" s="103"/>
      <c r="O234" s="103">
        <f ca="1">IFERROR(__xludf.DUMMYFUNCTION("""COMPUTED_VALUE"""),0)</f>
        <v>0</v>
      </c>
      <c r="P234" s="103">
        <f ca="1">IFERROR(__xludf.DUMMYFUNCTION("""COMPUTED_VALUE"""),0)</f>
        <v>0</v>
      </c>
      <c r="Q234" s="103">
        <f ca="1">IFERROR(__xludf.DUMMYFUNCTION("""COMPUTED_VALUE"""),1)</f>
        <v>1</v>
      </c>
      <c r="R234" s="103"/>
      <c r="S234" s="103" t="str">
        <f ca="1">IFERROR(__xludf.DUMMYFUNCTION("""COMPUTED_VALUE"""),"S")</f>
        <v>S</v>
      </c>
      <c r="T234" s="103">
        <f ca="1">IFERROR(__xludf.DUMMYFUNCTION("""COMPUTED_VALUE"""),2)</f>
        <v>2</v>
      </c>
      <c r="U234" s="103"/>
      <c r="V234" s="103" t="str">
        <f ca="1">IFERROR(__xludf.DUMMYFUNCTION("""COMPUTED_VALUE"""),"J")</f>
        <v>J</v>
      </c>
      <c r="W234" s="103" t="str">
        <f ca="1">IFERROR(__xludf.DUMMYFUNCTION("""COMPUTED_VALUE"""),"B")</f>
        <v>B</v>
      </c>
      <c r="X234" s="103" t="str">
        <f ca="1">IFERROR(__xludf.DUMMYFUNCTION("""COMPUTED_VALUE"""),"L")</f>
        <v>L</v>
      </c>
      <c r="Y234" s="103"/>
      <c r="Z234" s="103"/>
      <c r="AA234" s="103" t="str">
        <f ca="1">IFERROR(__xludf.DUMMYFUNCTION("""COMPUTED_VALUE"""),"J")</f>
        <v>J</v>
      </c>
      <c r="AB234" s="103"/>
      <c r="AC234" s="103"/>
      <c r="AD234" s="103">
        <f ca="1">IFERROR(__xludf.DUMMYFUNCTION("""COMPUTED_VALUE"""),80)</f>
        <v>80</v>
      </c>
      <c r="AE234" s="103">
        <f ca="1">IFERROR(__xludf.DUMMYFUNCTION("""COMPUTED_VALUE"""),41.8)</f>
        <v>41.8</v>
      </c>
      <c r="AF234" s="103">
        <f ca="1">IFERROR(__xludf.DUMMYFUNCTION("""COMPUTED_VALUE"""),300)</f>
        <v>300</v>
      </c>
      <c r="AG234" s="103">
        <f ca="1">IFERROR(__xludf.DUMMYFUNCTION("""COMPUTED_VALUE"""),7)</f>
        <v>7</v>
      </c>
      <c r="AH234" s="103">
        <f ca="1">IFERROR(__xludf.DUMMYFUNCTION("""COMPUTED_VALUE"""),24)</f>
        <v>24</v>
      </c>
      <c r="AI234" s="103">
        <f ca="1">IFERROR(__xludf.DUMMYFUNCTION("""COMPUTED_VALUE"""),840)</f>
        <v>840</v>
      </c>
      <c r="AJ234" s="103" t="str">
        <f ca="1">IFERROR(__xludf.DUMMYFUNCTION("""COMPUTED_VALUE"""),"MORS")</f>
        <v>MORS</v>
      </c>
      <c r="AK234" s="103">
        <f ca="1">IFERROR(__xludf.DUMMYFUNCTION("""COMPUTED_VALUE"""),6)</f>
        <v>6</v>
      </c>
      <c r="AL234" s="103"/>
      <c r="AM234" s="103">
        <f ca="1">IFERROR(__xludf.DUMMYFUNCTION("""COMPUTED_VALUE"""),2)</f>
        <v>2</v>
      </c>
      <c r="AN234" s="103" t="str">
        <f ca="1">IFERROR(__xludf.DUMMYFUNCTION("""COMPUTED_VALUE"""),"White on outer rects 18mm. Central rects in pin. Eye organe-red. head is missing feathers. Skin black and scaly.")</f>
        <v>White on outer rects 18mm. Central rects in pin. Eye organe-red. head is missing feathers. Skin black and scaly.</v>
      </c>
      <c r="AO234" s="57" t="str">
        <f ca="1">IFERROR(__xludf.DUMMYFUNCTION("""COMPUTED_VALUE"""),"R")</f>
        <v>R</v>
      </c>
      <c r="AP234" s="103">
        <f ca="1">IFERROR(__xludf.DUMMYFUNCTION("""COMPUTED_VALUE"""),3)</f>
        <v>3</v>
      </c>
    </row>
    <row r="235" spans="1:42">
      <c r="A235" s="103">
        <f ca="1">IFERROR(__xludf.DUMMYFUNCTION("""COMPUTED_VALUE"""),6)</f>
        <v>6</v>
      </c>
      <c r="B235" s="103" t="str">
        <f ca="1">IFERROR(__xludf.DUMMYFUNCTION("""COMPUTED_VALUE"""),"ACC")</f>
        <v>ACC</v>
      </c>
      <c r="C235" s="103" t="str">
        <f ca="1">IFERROR(__xludf.DUMMYFUNCTION("""COMPUTED_VALUE"""),"N")</f>
        <v>N</v>
      </c>
      <c r="D235" s="103">
        <f ca="1">IFERROR(__xludf.DUMMYFUNCTION("""COMPUTED_VALUE"""),172176263)</f>
        <v>172176263</v>
      </c>
      <c r="E235" s="103" t="str">
        <f ca="1">IFERROR(__xludf.DUMMYFUNCTION("""COMPUTED_VALUE"""),"Song Sparrow")</f>
        <v>Song Sparrow</v>
      </c>
      <c r="F235" s="103" t="str">
        <f ca="1">IFERROR(__xludf.DUMMYFUNCTION("""COMPUTED_VALUE"""),"SOSP")</f>
        <v>SOSP</v>
      </c>
      <c r="G235" s="103">
        <f ca="1">IFERROR(__xludf.DUMMYFUNCTION("""COMPUTED_VALUE"""),2)</f>
        <v>2</v>
      </c>
      <c r="H235" s="103" t="str">
        <f ca="1">IFERROR(__xludf.DUMMYFUNCTION("""COMPUTED_VALUE"""),"P")</f>
        <v>P</v>
      </c>
      <c r="I235" s="103"/>
      <c r="J235" s="103" t="str">
        <f ca="1">IFERROR(__xludf.DUMMYFUNCTION("""COMPUTED_VALUE"""),"FPJ")</f>
        <v>FPJ</v>
      </c>
      <c r="K235" s="103" t="str">
        <f ca="1">IFERROR(__xludf.DUMMYFUNCTION("""COMPUTED_VALUE"""),"U")</f>
        <v>U</v>
      </c>
      <c r="L235" s="103"/>
      <c r="M235" s="103"/>
      <c r="N235" s="103">
        <f ca="1">IFERROR(__xludf.DUMMYFUNCTION("""COMPUTED_VALUE"""),1)</f>
        <v>1</v>
      </c>
      <c r="O235" s="103">
        <f ca="1">IFERROR(__xludf.DUMMYFUNCTION("""COMPUTED_VALUE"""),0)</f>
        <v>0</v>
      </c>
      <c r="P235" s="103">
        <f ca="1">IFERROR(__xludf.DUMMYFUNCTION("""COMPUTED_VALUE"""),0)</f>
        <v>0</v>
      </c>
      <c r="Q235" s="103">
        <f ca="1">IFERROR(__xludf.DUMMYFUNCTION("""COMPUTED_VALUE"""),0)</f>
        <v>0</v>
      </c>
      <c r="R235" s="103">
        <f ca="1">IFERROR(__xludf.DUMMYFUNCTION("""COMPUTED_VALUE"""),2)</f>
        <v>2</v>
      </c>
      <c r="S235" s="103" t="str">
        <f ca="1">IFERROR(__xludf.DUMMYFUNCTION("""COMPUTED_VALUE"""),"N")</f>
        <v>N</v>
      </c>
      <c r="T235" s="103">
        <f ca="1">IFERROR(__xludf.DUMMYFUNCTION("""COMPUTED_VALUE"""),1)</f>
        <v>1</v>
      </c>
      <c r="U235" s="103">
        <f ca="1">IFERROR(__xludf.DUMMYFUNCTION("""COMPUTED_VALUE"""),3)</f>
        <v>3</v>
      </c>
      <c r="V235" s="103"/>
      <c r="W235" s="103"/>
      <c r="X235" s="103"/>
      <c r="Y235" s="103"/>
      <c r="Z235" s="103"/>
      <c r="AA235" s="103" t="str">
        <f ca="1">IFERROR(__xludf.DUMMYFUNCTION("""COMPUTED_VALUE"""),"J")</f>
        <v>J</v>
      </c>
      <c r="AB235" s="103"/>
      <c r="AC235" s="103"/>
      <c r="AD235" s="103">
        <f ca="1">IFERROR(__xludf.DUMMYFUNCTION("""COMPUTED_VALUE"""),68)</f>
        <v>68</v>
      </c>
      <c r="AE235" s="103">
        <f ca="1">IFERROR(__xludf.DUMMYFUNCTION("""COMPUTED_VALUE"""),23.4)</f>
        <v>23.4</v>
      </c>
      <c r="AF235" s="103">
        <f ca="1">IFERROR(__xludf.DUMMYFUNCTION("""COMPUTED_VALUE"""),300)</f>
        <v>300</v>
      </c>
      <c r="AG235" s="103">
        <f ca="1">IFERROR(__xludf.DUMMYFUNCTION("""COMPUTED_VALUE"""),7)</f>
        <v>7</v>
      </c>
      <c r="AH235" s="103">
        <f ca="1">IFERROR(__xludf.DUMMYFUNCTION("""COMPUTED_VALUE"""),24)</f>
        <v>24</v>
      </c>
      <c r="AI235" s="103">
        <f ca="1">IFERROR(__xludf.DUMMYFUNCTION("""COMPUTED_VALUE"""),910)</f>
        <v>910</v>
      </c>
      <c r="AJ235" s="103" t="str">
        <f ca="1">IFERROR(__xludf.DUMMYFUNCTION("""COMPUTED_VALUE"""),"MORS")</f>
        <v>MORS</v>
      </c>
      <c r="AK235" s="103">
        <f ca="1">IFERROR(__xludf.DUMMYFUNCTION("""COMPUTED_VALUE"""),20)</f>
        <v>20</v>
      </c>
      <c r="AL235" s="103"/>
      <c r="AM235" s="103">
        <f ca="1">IFERROR(__xludf.DUMMYFUNCTION("""COMPUTED_VALUE"""),3)</f>
        <v>3</v>
      </c>
      <c r="AN235" s="103" t="str">
        <f ca="1">IFERROR(__xludf.DUMMYFUNCTION("""COMPUTED_VALUE"""),"Rects molting in")</f>
        <v>Rects molting in</v>
      </c>
      <c r="AO235" s="57" t="str">
        <f ca="1">IFERROR(__xludf.DUMMYFUNCTION("""COMPUTED_VALUE"""),"1B")</f>
        <v>1B</v>
      </c>
      <c r="AP235" s="103">
        <f ca="1">IFERROR(__xludf.DUMMYFUNCTION("""COMPUTED_VALUE"""),3)</f>
        <v>3</v>
      </c>
    </row>
    <row r="236" spans="1:42">
      <c r="A236" s="103">
        <f ca="1">IFERROR(__xludf.DUMMYFUNCTION("""COMPUTED_VALUE"""),7)</f>
        <v>7</v>
      </c>
      <c r="B236" s="103" t="str">
        <f ca="1">IFERROR(__xludf.DUMMYFUNCTION("""COMPUTED_VALUE"""),"ACC")</f>
        <v>ACC</v>
      </c>
      <c r="C236" s="103" t="str">
        <f ca="1">IFERROR(__xludf.DUMMYFUNCTION("""COMPUTED_VALUE"""),"N")</f>
        <v>N</v>
      </c>
      <c r="D236" s="103">
        <f ca="1">IFERROR(__xludf.DUMMYFUNCTION("""COMPUTED_VALUE"""),288029972)</f>
        <v>288029972</v>
      </c>
      <c r="E236" s="103" t="str">
        <f ca="1">IFERROR(__xludf.DUMMYFUNCTION("""COMPUTED_VALUE"""),"Pacific-slope Flycatcher")</f>
        <v>Pacific-slope Flycatcher</v>
      </c>
      <c r="F236" s="103" t="str">
        <f ca="1">IFERROR(__xludf.DUMMYFUNCTION("""COMPUTED_VALUE"""),"PSFL")</f>
        <v>PSFL</v>
      </c>
      <c r="G236" s="103">
        <f ca="1">IFERROR(__xludf.DUMMYFUNCTION("""COMPUTED_VALUE"""),1)</f>
        <v>1</v>
      </c>
      <c r="H236" s="103" t="str">
        <f ca="1">IFERROR(__xludf.DUMMYFUNCTION("""COMPUTED_VALUE"""),"P")</f>
        <v>P</v>
      </c>
      <c r="I236" s="103" t="str">
        <f ca="1">IFERROR(__xludf.DUMMYFUNCTION("""COMPUTED_VALUE"""),"S")</f>
        <v>S</v>
      </c>
      <c r="J236" s="103" t="str">
        <f ca="1">IFERROR(__xludf.DUMMYFUNCTION("""COMPUTED_VALUE"""),"UCU")</f>
        <v>UCU</v>
      </c>
      <c r="K236" s="103" t="str">
        <f ca="1">IFERROR(__xludf.DUMMYFUNCTION("""COMPUTED_VALUE"""),"U")</f>
        <v>U</v>
      </c>
      <c r="L236" s="103"/>
      <c r="M236" s="103"/>
      <c r="N236" s="103">
        <f ca="1">IFERROR(__xludf.DUMMYFUNCTION("""COMPUTED_VALUE"""),6)</f>
        <v>6</v>
      </c>
      <c r="O236" s="103">
        <f ca="1">IFERROR(__xludf.DUMMYFUNCTION("""COMPUTED_VALUE"""),0)</f>
        <v>0</v>
      </c>
      <c r="P236" s="103">
        <f ca="1">IFERROR(__xludf.DUMMYFUNCTION("""COMPUTED_VALUE"""),0)</f>
        <v>0</v>
      </c>
      <c r="Q236" s="103">
        <f ca="1">IFERROR(__xludf.DUMMYFUNCTION("""COMPUTED_VALUE"""),0)</f>
        <v>0</v>
      </c>
      <c r="R236" s="103">
        <f ca="1">IFERROR(__xludf.DUMMYFUNCTION("""COMPUTED_VALUE"""),0)</f>
        <v>0</v>
      </c>
      <c r="S236" s="103" t="str">
        <f ca="1">IFERROR(__xludf.DUMMYFUNCTION("""COMPUTED_VALUE"""),"N")</f>
        <v>N</v>
      </c>
      <c r="T236" s="103">
        <f ca="1">IFERROR(__xludf.DUMMYFUNCTION("""COMPUTED_VALUE"""),4)</f>
        <v>4</v>
      </c>
      <c r="U236" s="103"/>
      <c r="V236" s="103" t="str">
        <f ca="1">IFERROR(__xludf.DUMMYFUNCTION("""COMPUTED_VALUE"""),"F")</f>
        <v>F</v>
      </c>
      <c r="W236" s="103" t="str">
        <f ca="1">IFERROR(__xludf.DUMMYFUNCTION("""COMPUTED_VALUE"""),"F")</f>
        <v>F</v>
      </c>
      <c r="X236" s="103"/>
      <c r="Y236" s="103"/>
      <c r="Z236" s="103"/>
      <c r="AA236" s="103" t="str">
        <f ca="1">IFERROR(__xludf.DUMMYFUNCTION("""COMPUTED_VALUE"""),"J")</f>
        <v>J</v>
      </c>
      <c r="AB236" s="103"/>
      <c r="AC236" s="103"/>
      <c r="AD236" s="103">
        <f ca="1">IFERROR(__xludf.DUMMYFUNCTION("""COMPUTED_VALUE"""),66)</f>
        <v>66</v>
      </c>
      <c r="AE236" s="103">
        <f ca="1">IFERROR(__xludf.DUMMYFUNCTION("""COMPUTED_VALUE"""),11.2)</f>
        <v>11.2</v>
      </c>
      <c r="AF236" s="103">
        <f ca="1">IFERROR(__xludf.DUMMYFUNCTION("""COMPUTED_VALUE"""),300)</f>
        <v>300</v>
      </c>
      <c r="AG236" s="103">
        <f ca="1">IFERROR(__xludf.DUMMYFUNCTION("""COMPUTED_VALUE"""),7)</f>
        <v>7</v>
      </c>
      <c r="AH236" s="103">
        <f ca="1">IFERROR(__xludf.DUMMYFUNCTION("""COMPUTED_VALUE"""),24)</f>
        <v>24</v>
      </c>
      <c r="AI236" s="103">
        <f ca="1">IFERROR(__xludf.DUMMYFUNCTION("""COMPUTED_VALUE"""),950)</f>
        <v>950</v>
      </c>
      <c r="AJ236" s="103" t="str">
        <f ca="1">IFERROR(__xludf.DUMMYFUNCTION("""COMPUTED_VALUE"""),"MORS")</f>
        <v>MORS</v>
      </c>
      <c r="AK236" s="103">
        <f ca="1">IFERROR(__xludf.DUMMYFUNCTION("""COMPUTED_VALUE"""),5)</f>
        <v>5</v>
      </c>
      <c r="AL236" s="103"/>
      <c r="AM236" s="103">
        <f ca="1">IFERROR(__xludf.DUMMYFUNCTION("""COMPUTED_VALUE"""),4)</f>
        <v>4</v>
      </c>
      <c r="AN236" s="103" t="str">
        <f ca="1">IFERROR(__xludf.DUMMYFUNCTION("""COMPUTED_VALUE"""),"Buffy wing bars. no edging on ppcovs. rects narrow and tapered.")</f>
        <v>Buffy wing bars. no edging on ppcovs. rects narrow and tapered.</v>
      </c>
      <c r="AO236" s="57">
        <f ca="1">IFERROR(__xludf.DUMMYFUNCTION("""COMPUTED_VALUE"""),0)</f>
        <v>0</v>
      </c>
      <c r="AP236" s="103">
        <f ca="1">IFERROR(__xludf.DUMMYFUNCTION("""COMPUTED_VALUE"""),3)</f>
        <v>3</v>
      </c>
    </row>
    <row r="237" spans="1:42">
      <c r="A237" s="103">
        <f ca="1">IFERROR(__xludf.DUMMYFUNCTION("""COMPUTED_VALUE"""),8)</f>
        <v>8</v>
      </c>
      <c r="B237" s="103" t="str">
        <f ca="1">IFERROR(__xludf.DUMMYFUNCTION("""COMPUTED_VALUE"""),"ACC")</f>
        <v>ACC</v>
      </c>
      <c r="C237" s="103" t="str">
        <f ca="1">IFERROR(__xludf.DUMMYFUNCTION("""COMPUTED_VALUE"""),"N")</f>
        <v>N</v>
      </c>
      <c r="D237" s="103">
        <f ca="1">IFERROR(__xludf.DUMMYFUNCTION("""COMPUTED_VALUE"""),288029976)</f>
        <v>288029976</v>
      </c>
      <c r="E237" s="103" t="str">
        <f ca="1">IFERROR(__xludf.DUMMYFUNCTION("""COMPUTED_VALUE"""),"Pacific-slope Flycatcher")</f>
        <v>Pacific-slope Flycatcher</v>
      </c>
      <c r="F237" s="103" t="str">
        <f ca="1">IFERROR(__xludf.DUMMYFUNCTION("""COMPUTED_VALUE"""),"PSFL")</f>
        <v>PSFL</v>
      </c>
      <c r="G237" s="103">
        <f ca="1">IFERROR(__xludf.DUMMYFUNCTION("""COMPUTED_VALUE"""),1)</f>
        <v>1</v>
      </c>
      <c r="H237" s="103" t="str">
        <f ca="1">IFERROR(__xludf.DUMMYFUNCTION("""COMPUTED_VALUE"""),"S")</f>
        <v>S</v>
      </c>
      <c r="I237" s="103"/>
      <c r="J237" s="103" t="str">
        <f ca="1">IFERROR(__xludf.DUMMYFUNCTION("""COMPUTED_VALUE"""),"UCU")</f>
        <v>UCU</v>
      </c>
      <c r="K237" s="103" t="str">
        <f ca="1">IFERROR(__xludf.DUMMYFUNCTION("""COMPUTED_VALUE"""),"U")</f>
        <v>U</v>
      </c>
      <c r="L237" s="103"/>
      <c r="M237" s="103"/>
      <c r="N237" s="103">
        <f ca="1">IFERROR(__xludf.DUMMYFUNCTION("""COMPUTED_VALUE"""),6)</f>
        <v>6</v>
      </c>
      <c r="O237" s="103">
        <f ca="1">IFERROR(__xludf.DUMMYFUNCTION("""COMPUTED_VALUE"""),0)</f>
        <v>0</v>
      </c>
      <c r="P237" s="103">
        <f ca="1">IFERROR(__xludf.DUMMYFUNCTION("""COMPUTED_VALUE"""),0)</f>
        <v>0</v>
      </c>
      <c r="Q237" s="103">
        <f ca="1">IFERROR(__xludf.DUMMYFUNCTION("""COMPUTED_VALUE"""),0)</f>
        <v>0</v>
      </c>
      <c r="R237" s="103">
        <f ca="1">IFERROR(__xludf.DUMMYFUNCTION("""COMPUTED_VALUE"""),0)</f>
        <v>0</v>
      </c>
      <c r="S237" s="103" t="str">
        <f ca="1">IFERROR(__xludf.DUMMYFUNCTION("""COMPUTED_VALUE"""),"N")</f>
        <v>N</v>
      </c>
      <c r="T237" s="103">
        <f ca="1">IFERROR(__xludf.DUMMYFUNCTION("""COMPUTED_VALUE"""),2)</f>
        <v>2</v>
      </c>
      <c r="U237" s="103"/>
      <c r="V237" s="103"/>
      <c r="W237" s="103"/>
      <c r="X237" s="103"/>
      <c r="Y237" s="103"/>
      <c r="Z237" s="103"/>
      <c r="AA237" s="103"/>
      <c r="AB237" s="103"/>
      <c r="AC237" s="103"/>
      <c r="AD237" s="103">
        <f ca="1">IFERROR(__xludf.DUMMYFUNCTION("""COMPUTED_VALUE"""),66)</f>
        <v>66</v>
      </c>
      <c r="AE237" s="103">
        <f ca="1">IFERROR(__xludf.DUMMYFUNCTION("""COMPUTED_VALUE"""),10.8)</f>
        <v>10.8</v>
      </c>
      <c r="AF237" s="103">
        <f ca="1">IFERROR(__xludf.DUMMYFUNCTION("""COMPUTED_VALUE"""),300)</f>
        <v>300</v>
      </c>
      <c r="AG237" s="103">
        <f ca="1">IFERROR(__xludf.DUMMYFUNCTION("""COMPUTED_VALUE"""),7)</f>
        <v>7</v>
      </c>
      <c r="AH237" s="103">
        <f ca="1">IFERROR(__xludf.DUMMYFUNCTION("""COMPUTED_VALUE"""),24)</f>
        <v>24</v>
      </c>
      <c r="AI237" s="103">
        <f ca="1">IFERROR(__xludf.DUMMYFUNCTION("""COMPUTED_VALUE"""),1030)</f>
        <v>1030</v>
      </c>
      <c r="AJ237" s="103" t="str">
        <f ca="1">IFERROR(__xludf.DUMMYFUNCTION("""COMPUTED_VALUE"""),"MORS")</f>
        <v>MORS</v>
      </c>
      <c r="AK237" s="103">
        <f ca="1">IFERROR(__xludf.DUMMYFUNCTION("""COMPUTED_VALUE"""),20)</f>
        <v>20</v>
      </c>
      <c r="AL237" s="103"/>
      <c r="AM237" s="103">
        <f ca="1">IFERROR(__xludf.DUMMYFUNCTION("""COMPUTED_VALUE"""),5)</f>
        <v>5</v>
      </c>
      <c r="AN237" s="103" t="str">
        <f ca="1">IFERROR(__xludf.DUMMYFUNCTION("""COMPUTED_VALUE"""),"Buffy wing bars. no edging on ppcovs. No molt limit in sscovs")</f>
        <v>Buffy wing bars. no edging on ppcovs. No molt limit in sscovs</v>
      </c>
      <c r="AO237" s="57">
        <f ca="1">IFERROR(__xludf.DUMMYFUNCTION("""COMPUTED_VALUE"""),0)</f>
        <v>0</v>
      </c>
      <c r="AP237" s="103">
        <f ca="1">IFERROR(__xludf.DUMMYFUNCTION("""COMPUTED_VALUE"""),3)</f>
        <v>3</v>
      </c>
    </row>
    <row r="238" spans="1:42">
      <c r="A238" s="103">
        <f ca="1">IFERROR(__xludf.DUMMYFUNCTION("""COMPUTED_VALUE"""),1)</f>
        <v>1</v>
      </c>
      <c r="B238" s="103" t="str">
        <f ca="1">IFERROR(__xludf.DUMMYFUNCTION("""COMPUTED_VALUE"""),"NDS")</f>
        <v>NDS</v>
      </c>
      <c r="C238" s="103" t="str">
        <f ca="1">IFERROR(__xludf.DUMMYFUNCTION("""COMPUTED_VALUE"""),"N")</f>
        <v>N</v>
      </c>
      <c r="D238" s="103">
        <f ca="1">IFERROR(__xludf.DUMMYFUNCTION("""COMPUTED_VALUE"""),172176268)</f>
        <v>172176268</v>
      </c>
      <c r="E238" s="103" t="str">
        <f ca="1">IFERROR(__xludf.DUMMYFUNCTION("""COMPUTED_VALUE"""),"Song Sparrow")</f>
        <v>Song Sparrow</v>
      </c>
      <c r="F238" s="103" t="str">
        <f ca="1">IFERROR(__xludf.DUMMYFUNCTION("""COMPUTED_VALUE"""),"SOSP")</f>
        <v>SOSP</v>
      </c>
      <c r="G238" s="103">
        <f ca="1">IFERROR(__xludf.DUMMYFUNCTION("""COMPUTED_VALUE"""),2)</f>
        <v>2</v>
      </c>
      <c r="H238" s="103" t="str">
        <f ca="1">IFERROR(__xludf.DUMMYFUNCTION("""COMPUTED_VALUE"""),"J")</f>
        <v>J</v>
      </c>
      <c r="I238" s="103" t="str">
        <f ca="1">IFERROR(__xludf.DUMMYFUNCTION("""COMPUTED_VALUE"""),"I")</f>
        <v>I</v>
      </c>
      <c r="J238" s="103" t="str">
        <f ca="1">IFERROR(__xludf.DUMMYFUNCTION("""COMPUTED_VALUE"""),"FCJ")</f>
        <v>FCJ</v>
      </c>
      <c r="K238" s="103" t="str">
        <f ca="1">IFERROR(__xludf.DUMMYFUNCTION("""COMPUTED_VALUE"""),"U")</f>
        <v>U</v>
      </c>
      <c r="L238" s="103"/>
      <c r="M238" s="103"/>
      <c r="N238" s="103">
        <f ca="1">IFERROR(__xludf.DUMMYFUNCTION("""COMPUTED_VALUE"""),2)</f>
        <v>2</v>
      </c>
      <c r="O238" s="103">
        <f ca="1">IFERROR(__xludf.DUMMYFUNCTION("""COMPUTED_VALUE"""),0)</f>
        <v>0</v>
      </c>
      <c r="P238" s="103">
        <f ca="1">IFERROR(__xludf.DUMMYFUNCTION("""COMPUTED_VALUE"""),0)</f>
        <v>0</v>
      </c>
      <c r="Q238" s="103">
        <f ca="1">IFERROR(__xludf.DUMMYFUNCTION("""COMPUTED_VALUE"""),3)</f>
        <v>3</v>
      </c>
      <c r="R238" s="103">
        <f ca="1">IFERROR(__xludf.DUMMYFUNCTION("""COMPUTED_VALUE"""),0)</f>
        <v>0</v>
      </c>
      <c r="S238" s="103" t="str">
        <f ca="1">IFERROR(__xludf.DUMMYFUNCTION("""COMPUTED_VALUE"""),"N")</f>
        <v>N</v>
      </c>
      <c r="T238" s="103">
        <f ca="1">IFERROR(__xludf.DUMMYFUNCTION("""COMPUTED_VALUE"""),1)</f>
        <v>1</v>
      </c>
      <c r="U238" s="103">
        <f ca="1">IFERROR(__xludf.DUMMYFUNCTION("""COMPUTED_VALUE"""),3)</f>
        <v>3</v>
      </c>
      <c r="V238" s="103"/>
      <c r="W238" s="103"/>
      <c r="X238" s="103"/>
      <c r="Y238" s="103"/>
      <c r="Z238" s="103"/>
      <c r="AA238" s="103"/>
      <c r="AB238" s="103"/>
      <c r="AC238" s="103"/>
      <c r="AD238" s="103">
        <f ca="1">IFERROR(__xludf.DUMMYFUNCTION("""COMPUTED_VALUE"""),66)</f>
        <v>66</v>
      </c>
      <c r="AE238" s="103">
        <f ca="1">IFERROR(__xludf.DUMMYFUNCTION("""COMPUTED_VALUE"""),24.4)</f>
        <v>24.4</v>
      </c>
      <c r="AF238" s="103">
        <f ca="1">IFERROR(__xludf.DUMMYFUNCTION("""COMPUTED_VALUE"""),300)</f>
        <v>300</v>
      </c>
      <c r="AG238" s="103">
        <f ca="1">IFERROR(__xludf.DUMMYFUNCTION("""COMPUTED_VALUE"""),7)</f>
        <v>7</v>
      </c>
      <c r="AH238" s="103">
        <f ca="1">IFERROR(__xludf.DUMMYFUNCTION("""COMPUTED_VALUE"""),31)</f>
        <v>31</v>
      </c>
      <c r="AI238" s="103">
        <f ca="1">IFERROR(__xludf.DUMMYFUNCTION("""COMPUTED_VALUE"""),820)</f>
        <v>820</v>
      </c>
      <c r="AJ238" s="103" t="str">
        <f ca="1">IFERROR(__xludf.DUMMYFUNCTION("""COMPUTED_VALUE"""),"MORS")</f>
        <v>MORS</v>
      </c>
      <c r="AK238" s="103">
        <f ca="1">IFERROR(__xludf.DUMMYFUNCTION("""COMPUTED_VALUE"""),20)</f>
        <v>20</v>
      </c>
      <c r="AL238" s="103"/>
      <c r="AM238" s="103">
        <f ca="1">IFERROR(__xludf.DUMMYFUNCTION("""COMPUTED_VALUE"""),1)</f>
        <v>1</v>
      </c>
      <c r="AN238" s="103" t="str">
        <f ca="1">IFERROR(__xludf.DUMMYFUNCTION("""COMPUTED_VALUE"""),"CP looks male")</f>
        <v>CP looks male</v>
      </c>
      <c r="AO238" s="57" t="str">
        <f ca="1">IFERROR(__xludf.DUMMYFUNCTION("""COMPUTED_VALUE"""),"1B")</f>
        <v>1B</v>
      </c>
      <c r="AP238" s="103">
        <f ca="1">IFERROR(__xludf.DUMMYFUNCTION("""COMPUTED_VALUE"""),1)</f>
        <v>1</v>
      </c>
    </row>
    <row r="239" spans="1:42">
      <c r="A239" s="103">
        <f ca="1">IFERROR(__xludf.DUMMYFUNCTION("""COMPUTED_VALUE"""),2)</f>
        <v>2</v>
      </c>
      <c r="B239" s="103" t="str">
        <f ca="1">IFERROR(__xludf.DUMMYFUNCTION("""COMPUTED_VALUE"""),"NDS")</f>
        <v>NDS</v>
      </c>
      <c r="C239" s="103" t="str">
        <f ca="1">IFERROR(__xludf.DUMMYFUNCTION("""COMPUTED_VALUE"""),"N")</f>
        <v>N</v>
      </c>
      <c r="D239" s="103">
        <f ca="1">IFERROR(__xludf.DUMMYFUNCTION("""COMPUTED_VALUE"""),172176269)</f>
        <v>172176269</v>
      </c>
      <c r="E239" s="103" t="str">
        <f ca="1">IFERROR(__xludf.DUMMYFUNCTION("""COMPUTED_VALUE"""),"Song Sparrow")</f>
        <v>Song Sparrow</v>
      </c>
      <c r="F239" s="103" t="str">
        <f ca="1">IFERROR(__xludf.DUMMYFUNCTION("""COMPUTED_VALUE"""),"SOSP")</f>
        <v>SOSP</v>
      </c>
      <c r="G239" s="103">
        <f ca="1">IFERROR(__xludf.DUMMYFUNCTION("""COMPUTED_VALUE"""),2)</f>
        <v>2</v>
      </c>
      <c r="H239" s="103" t="str">
        <f ca="1">IFERROR(__xludf.DUMMYFUNCTION("""COMPUTED_VALUE"""),"J")</f>
        <v>J</v>
      </c>
      <c r="I239" s="103" t="str">
        <f ca="1">IFERROR(__xludf.DUMMYFUNCTION("""COMPUTED_VALUE"""),"I")</f>
        <v>I</v>
      </c>
      <c r="J239" s="103" t="str">
        <f ca="1">IFERROR(__xludf.DUMMYFUNCTION("""COMPUTED_VALUE"""),"FCJ")</f>
        <v>FCJ</v>
      </c>
      <c r="K239" s="103" t="str">
        <f ca="1">IFERROR(__xludf.DUMMYFUNCTION("""COMPUTED_VALUE"""),"U")</f>
        <v>U</v>
      </c>
      <c r="L239" s="103"/>
      <c r="M239" s="103"/>
      <c r="N239" s="103"/>
      <c r="O239" s="103">
        <f ca="1">IFERROR(__xludf.DUMMYFUNCTION("""COMPUTED_VALUE"""),0)</f>
        <v>0</v>
      </c>
      <c r="P239" s="103">
        <f ca="1">IFERROR(__xludf.DUMMYFUNCTION("""COMPUTED_VALUE"""),0)</f>
        <v>0</v>
      </c>
      <c r="Q239" s="103">
        <f ca="1">IFERROR(__xludf.DUMMYFUNCTION("""COMPUTED_VALUE"""),2)</f>
        <v>2</v>
      </c>
      <c r="R239" s="103">
        <f ca="1">IFERROR(__xludf.DUMMYFUNCTION("""COMPUTED_VALUE"""),0)</f>
        <v>0</v>
      </c>
      <c r="S239" s="103" t="str">
        <f ca="1">IFERROR(__xludf.DUMMYFUNCTION("""COMPUTED_VALUE"""),"N")</f>
        <v>N</v>
      </c>
      <c r="T239" s="103">
        <f ca="1">IFERROR(__xludf.DUMMYFUNCTION("""COMPUTED_VALUE"""),2)</f>
        <v>2</v>
      </c>
      <c r="U239" s="103">
        <f ca="1">IFERROR(__xludf.DUMMYFUNCTION("""COMPUTED_VALUE"""),3)</f>
        <v>3</v>
      </c>
      <c r="V239" s="103"/>
      <c r="W239" s="103"/>
      <c r="X239" s="103"/>
      <c r="Y239" s="103"/>
      <c r="Z239" s="103"/>
      <c r="AA239" s="103"/>
      <c r="AB239" s="103"/>
      <c r="AC239" s="103"/>
      <c r="AD239" s="103">
        <f ca="1">IFERROR(__xludf.DUMMYFUNCTION("""COMPUTED_VALUE"""),60)</f>
        <v>60</v>
      </c>
      <c r="AE239" s="103">
        <f ca="1">IFERROR(__xludf.DUMMYFUNCTION("""COMPUTED_VALUE"""),20.4)</f>
        <v>20.399999999999999</v>
      </c>
      <c r="AF239" s="103">
        <f ca="1">IFERROR(__xludf.DUMMYFUNCTION("""COMPUTED_VALUE"""),300)</f>
        <v>300</v>
      </c>
      <c r="AG239" s="103">
        <f ca="1">IFERROR(__xludf.DUMMYFUNCTION("""COMPUTED_VALUE"""),7)</f>
        <v>7</v>
      </c>
      <c r="AH239" s="103">
        <f ca="1">IFERROR(__xludf.DUMMYFUNCTION("""COMPUTED_VALUE"""),31)</f>
        <v>31</v>
      </c>
      <c r="AI239" s="103">
        <f ca="1">IFERROR(__xludf.DUMMYFUNCTION("""COMPUTED_VALUE"""),820)</f>
        <v>820</v>
      </c>
      <c r="AJ239" s="103" t="str">
        <f ca="1">IFERROR(__xludf.DUMMYFUNCTION("""COMPUTED_VALUE"""),"MORS")</f>
        <v>MORS</v>
      </c>
      <c r="AK239" s="103">
        <f ca="1">IFERROR(__xludf.DUMMYFUNCTION("""COMPUTED_VALUE"""),20)</f>
        <v>20</v>
      </c>
      <c r="AL239" s="103"/>
      <c r="AM239" s="103">
        <f ca="1">IFERROR(__xludf.DUMMYFUNCTION("""COMPUTED_VALUE"""),2)</f>
        <v>2</v>
      </c>
      <c r="AN239" s="103" t="str">
        <f ca="1">IFERROR(__xludf.DUMMYFUNCTION("""COMPUTED_VALUE"""),"CP looks female")</f>
        <v>CP looks female</v>
      </c>
      <c r="AO239" s="57" t="str">
        <f ca="1">IFERROR(__xludf.DUMMYFUNCTION("""COMPUTED_VALUE"""),"1B")</f>
        <v>1B</v>
      </c>
      <c r="AP239" s="103">
        <f ca="1">IFERROR(__xludf.DUMMYFUNCTION("""COMPUTED_VALUE"""),1)</f>
        <v>1</v>
      </c>
    </row>
    <row r="240" spans="1:42">
      <c r="A240" s="103">
        <f ca="1">IFERROR(__xludf.DUMMYFUNCTION("""COMPUTED_VALUE"""),3)</f>
        <v>3</v>
      </c>
      <c r="B240" s="103" t="str">
        <f ca="1">IFERROR(__xludf.DUMMYFUNCTION("""COMPUTED_VALUE"""),"NDS")</f>
        <v>NDS</v>
      </c>
      <c r="C240" s="103" t="str">
        <f ca="1">IFERROR(__xludf.DUMMYFUNCTION("""COMPUTED_VALUE"""),"R")</f>
        <v>R</v>
      </c>
      <c r="D240" s="103">
        <f ca="1">IFERROR(__xludf.DUMMYFUNCTION("""COMPUTED_VALUE"""),283105232)</f>
        <v>283105232</v>
      </c>
      <c r="E240" s="103" t="str">
        <f ca="1">IFERROR(__xludf.DUMMYFUNCTION("""COMPUTED_VALUE"""),"Swainson's Thrush")</f>
        <v>Swainson's Thrush</v>
      </c>
      <c r="F240" s="103" t="str">
        <f ca="1">IFERROR(__xludf.DUMMYFUNCTION("""COMPUTED_VALUE"""),"SWTH")</f>
        <v>SWTH</v>
      </c>
      <c r="G240" s="103">
        <f ca="1">IFERROR(__xludf.DUMMYFUNCTION("""COMPUTED_VALUE"""),1)</f>
        <v>1</v>
      </c>
      <c r="H240" s="103" t="str">
        <f ca="1">IFERROR(__xludf.DUMMYFUNCTION("""COMPUTED_VALUE"""),"P")</f>
        <v>P</v>
      </c>
      <c r="I240" s="103"/>
      <c r="J240" s="103" t="str">
        <f ca="1">IFERROR(__xludf.DUMMYFUNCTION("""COMPUTED_VALUE"""),"UAJ")</f>
        <v>UAJ</v>
      </c>
      <c r="K240" s="103" t="str">
        <f ca="1">IFERROR(__xludf.DUMMYFUNCTION("""COMPUTED_VALUE"""),"F")</f>
        <v>F</v>
      </c>
      <c r="L240" s="103" t="str">
        <f ca="1">IFERROR(__xludf.DUMMYFUNCTION("""COMPUTED_VALUE"""),"B")</f>
        <v>B</v>
      </c>
      <c r="M240" s="103"/>
      <c r="N240" s="103"/>
      <c r="O240" s="103">
        <f ca="1">IFERROR(__xludf.DUMMYFUNCTION("""COMPUTED_VALUE"""),0)</f>
        <v>0</v>
      </c>
      <c r="P240" s="103">
        <f ca="1">IFERROR(__xludf.DUMMYFUNCTION("""COMPUTED_VALUE"""),4)</f>
        <v>4</v>
      </c>
      <c r="Q240" s="103">
        <f ca="1">IFERROR(__xludf.DUMMYFUNCTION("""COMPUTED_VALUE"""),1)</f>
        <v>1</v>
      </c>
      <c r="R240" s="103">
        <f ca="1">IFERROR(__xludf.DUMMYFUNCTION("""COMPUTED_VALUE"""),1)</f>
        <v>1</v>
      </c>
      <c r="S240" s="103" t="str">
        <f ca="1">IFERROR(__xludf.DUMMYFUNCTION("""COMPUTED_VALUE"""),"N")</f>
        <v>N</v>
      </c>
      <c r="T240" s="103">
        <f ca="1">IFERROR(__xludf.DUMMYFUNCTION("""COMPUTED_VALUE"""),2)</f>
        <v>2</v>
      </c>
      <c r="U240" s="103"/>
      <c r="V240" s="103"/>
      <c r="W240" s="103"/>
      <c r="X240" s="103"/>
      <c r="Y240" s="103"/>
      <c r="Z240" s="103"/>
      <c r="AA240" s="103"/>
      <c r="AB240" s="103"/>
      <c r="AC240" s="103"/>
      <c r="AD240" s="103">
        <f ca="1">IFERROR(__xludf.DUMMYFUNCTION("""COMPUTED_VALUE"""),92)</f>
        <v>92</v>
      </c>
      <c r="AE240" s="103">
        <f ca="1">IFERROR(__xludf.DUMMYFUNCTION("""COMPUTED_VALUE"""),27.6)</f>
        <v>27.6</v>
      </c>
      <c r="AF240" s="103">
        <f ca="1">IFERROR(__xludf.DUMMYFUNCTION("""COMPUTED_VALUE"""),300)</f>
        <v>300</v>
      </c>
      <c r="AG240" s="103">
        <f ca="1">IFERROR(__xludf.DUMMYFUNCTION("""COMPUTED_VALUE"""),7)</f>
        <v>7</v>
      </c>
      <c r="AH240" s="103">
        <f ca="1">IFERROR(__xludf.DUMMYFUNCTION("""COMPUTED_VALUE"""),31)</f>
        <v>31</v>
      </c>
      <c r="AI240" s="103">
        <f ca="1">IFERROR(__xludf.DUMMYFUNCTION("""COMPUTED_VALUE"""),920)</f>
        <v>920</v>
      </c>
      <c r="AJ240" s="103" t="str">
        <f ca="1">IFERROR(__xludf.DUMMYFUNCTION("""COMPUTED_VALUE"""),"MORS")</f>
        <v>MORS</v>
      </c>
      <c r="AK240" s="103">
        <f ca="1">IFERROR(__xludf.DUMMYFUNCTION("""COMPUTED_VALUE"""),8)</f>
        <v>8</v>
      </c>
      <c r="AL240" s="103"/>
      <c r="AM240" s="103"/>
      <c r="AN240" s="103"/>
      <c r="AO240" s="57" t="str">
        <f ca="1">IFERROR(__xludf.DUMMYFUNCTION("""COMPUTED_VALUE"""),"R")</f>
        <v>R</v>
      </c>
      <c r="AP240" s="103">
        <f ca="1">IFERROR(__xludf.DUMMYFUNCTION("""COMPUTED_VALUE"""),1)</f>
        <v>1</v>
      </c>
    </row>
    <row r="241" spans="1:42">
      <c r="A241" s="103">
        <f ca="1">IFERROR(__xludf.DUMMYFUNCTION("""COMPUTED_VALUE"""),4)</f>
        <v>4</v>
      </c>
      <c r="B241" s="103" t="str">
        <f ca="1">IFERROR(__xludf.DUMMYFUNCTION("""COMPUTED_VALUE"""),"NDS")</f>
        <v>NDS</v>
      </c>
      <c r="C241" s="103" t="str">
        <f ca="1">IFERROR(__xludf.DUMMYFUNCTION("""COMPUTED_VALUE"""),"R")</f>
        <v>R</v>
      </c>
      <c r="D241" s="103">
        <f ca="1">IFERROR(__xludf.DUMMYFUNCTION("""COMPUTED_VALUE"""),288029964)</f>
        <v>288029964</v>
      </c>
      <c r="E241" s="103" t="str">
        <f ca="1">IFERROR(__xludf.DUMMYFUNCTION("""COMPUTED_VALUE"""),"Black-capped Chickadee")</f>
        <v>Black-capped Chickadee</v>
      </c>
      <c r="F241" s="103" t="str">
        <f ca="1">IFERROR(__xludf.DUMMYFUNCTION("""COMPUTED_VALUE"""),"BCCH")</f>
        <v>BCCH</v>
      </c>
      <c r="G241" s="103">
        <f ca="1">IFERROR(__xludf.DUMMYFUNCTION("""COMPUTED_VALUE"""),1)</f>
        <v>1</v>
      </c>
      <c r="H241" s="103" t="str">
        <f ca="1">IFERROR(__xludf.DUMMYFUNCTION("""COMPUTED_VALUE"""),"M")</f>
        <v>M</v>
      </c>
      <c r="I241" s="103" t="str">
        <f ca="1">IFERROR(__xludf.DUMMYFUNCTION("""COMPUTED_VALUE"""),"P")</f>
        <v>P</v>
      </c>
      <c r="J241" s="103" t="str">
        <f ca="1">IFERROR(__xludf.DUMMYFUNCTION("""COMPUTED_VALUE"""),"DPB")</f>
        <v>DPB</v>
      </c>
      <c r="K241" s="103" t="str">
        <f ca="1">IFERROR(__xludf.DUMMYFUNCTION("""COMPUTED_VALUE"""),"F")</f>
        <v>F</v>
      </c>
      <c r="L241" s="103" t="str">
        <f ca="1">IFERROR(__xludf.DUMMYFUNCTION("""COMPUTED_VALUE"""),"B")</f>
        <v>B</v>
      </c>
      <c r="M241" s="103"/>
      <c r="N241" s="103"/>
      <c r="O241" s="103">
        <f ca="1">IFERROR(__xludf.DUMMYFUNCTION("""COMPUTED_VALUE"""),0)</f>
        <v>0</v>
      </c>
      <c r="P241" s="103">
        <f ca="1">IFERROR(__xludf.DUMMYFUNCTION("""COMPUTED_VALUE"""),5)</f>
        <v>5</v>
      </c>
      <c r="Q241" s="103">
        <f ca="1">IFERROR(__xludf.DUMMYFUNCTION("""COMPUTED_VALUE"""),3)</f>
        <v>3</v>
      </c>
      <c r="R241" s="103">
        <f ca="1">IFERROR(__xludf.DUMMYFUNCTION("""COMPUTED_VALUE"""),4)</f>
        <v>4</v>
      </c>
      <c r="S241" s="103" t="str">
        <f ca="1">IFERROR(__xludf.DUMMYFUNCTION("""COMPUTED_VALUE"""),"S")</f>
        <v>S</v>
      </c>
      <c r="T241" s="103">
        <f ca="1">IFERROR(__xludf.DUMMYFUNCTION("""COMPUTED_VALUE"""),3)</f>
        <v>3</v>
      </c>
      <c r="U241" s="103"/>
      <c r="V241" s="103"/>
      <c r="W241" s="103"/>
      <c r="X241" s="103"/>
      <c r="Y241" s="103"/>
      <c r="Z241" s="103"/>
      <c r="AA241" s="103"/>
      <c r="AB241" s="103"/>
      <c r="AC241" s="103"/>
      <c r="AD241" s="103">
        <f ca="1">IFERROR(__xludf.DUMMYFUNCTION("""COMPUTED_VALUE"""),59)</f>
        <v>59</v>
      </c>
      <c r="AE241" s="103">
        <f ca="1">IFERROR(__xludf.DUMMYFUNCTION("""COMPUTED_VALUE"""),10.8)</f>
        <v>10.8</v>
      </c>
      <c r="AF241" s="103">
        <f ca="1">IFERROR(__xludf.DUMMYFUNCTION("""COMPUTED_VALUE"""),300)</f>
        <v>300</v>
      </c>
      <c r="AG241" s="103">
        <f ca="1">IFERROR(__xludf.DUMMYFUNCTION("""COMPUTED_VALUE"""),7)</f>
        <v>7</v>
      </c>
      <c r="AH241" s="103">
        <f ca="1">IFERROR(__xludf.DUMMYFUNCTION("""COMPUTED_VALUE"""),31)</f>
        <v>31</v>
      </c>
      <c r="AI241" s="103">
        <f ca="1">IFERROR(__xludf.DUMMYFUNCTION("""COMPUTED_VALUE"""),950)</f>
        <v>950</v>
      </c>
      <c r="AJ241" s="103" t="str">
        <f ca="1">IFERROR(__xludf.DUMMYFUNCTION("""COMPUTED_VALUE"""),"MORS")</f>
        <v>MORS</v>
      </c>
      <c r="AK241" s="103">
        <f ca="1">IFERROR(__xludf.DUMMYFUNCTION("""COMPUTED_VALUE"""),14)</f>
        <v>14</v>
      </c>
      <c r="AL241" s="103"/>
      <c r="AM241" s="103">
        <f ca="1">IFERROR(__xludf.DUMMYFUNCTION("""COMPUTED_VALUE"""),3)</f>
        <v>3</v>
      </c>
      <c r="AN241" s="103" t="str">
        <f ca="1">IFERROR(__xludf.DUMMYFUNCTION("""COMPUTED_VALUE"""),"CP looks female. BP growing in, primaries gowing in. Wear different for p8-10(3), new P(1-7) (0)")</f>
        <v>CP looks female. BP growing in, primaries gowing in. Wear different for p8-10(3), new P(1-7) (0)</v>
      </c>
      <c r="AO241" s="57" t="str">
        <f ca="1">IFERROR(__xludf.DUMMYFUNCTION("""COMPUTED_VALUE"""),"R")</f>
        <v>R</v>
      </c>
      <c r="AP241" s="103">
        <f ca="1">IFERROR(__xludf.DUMMYFUNCTION("""COMPUTED_VALUE"""),1)</f>
        <v>1</v>
      </c>
    </row>
    <row r="242" spans="1:42">
      <c r="A242" s="103">
        <f ca="1">IFERROR(__xludf.DUMMYFUNCTION("""COMPUTED_VALUE"""),5)</f>
        <v>5</v>
      </c>
      <c r="B242" s="103" t="str">
        <f ca="1">IFERROR(__xludf.DUMMYFUNCTION("""COMPUTED_VALUE"""),"NDS")</f>
        <v>NDS</v>
      </c>
      <c r="C242" s="103" t="str">
        <f ca="1">IFERROR(__xludf.DUMMYFUNCTION("""COMPUTED_VALUE"""),"N")</f>
        <v>N</v>
      </c>
      <c r="D242" s="103">
        <f ca="1">IFERROR(__xludf.DUMMYFUNCTION("""COMPUTED_VALUE"""),290077853)</f>
        <v>290077853</v>
      </c>
      <c r="E242" s="103" t="str">
        <f ca="1">IFERROR(__xludf.DUMMYFUNCTION("""COMPUTED_VALUE"""),"Willow Flycatcher")</f>
        <v>Willow Flycatcher</v>
      </c>
      <c r="F242" s="103" t="str">
        <f ca="1">IFERROR(__xludf.DUMMYFUNCTION("""COMPUTED_VALUE"""),"WIFL")</f>
        <v>WIFL</v>
      </c>
      <c r="G242" s="103">
        <f ca="1">IFERROR(__xludf.DUMMYFUNCTION("""COMPUTED_VALUE"""),2)</f>
        <v>2</v>
      </c>
      <c r="H242" s="103" t="str">
        <f ca="1">IFERROR(__xludf.DUMMYFUNCTION("""COMPUTED_VALUE"""),"J")</f>
        <v>J</v>
      </c>
      <c r="I242" s="103"/>
      <c r="J242" s="103" t="str">
        <f ca="1">IFERROR(__xludf.DUMMYFUNCTION("""COMPUTED_VALUE"""),"FPJ")</f>
        <v>FPJ</v>
      </c>
      <c r="K242" s="103" t="str">
        <f ca="1">IFERROR(__xludf.DUMMYFUNCTION("""COMPUTED_VALUE"""),"U")</f>
        <v>U</v>
      </c>
      <c r="L242" s="103"/>
      <c r="M242" s="103"/>
      <c r="N242" s="103"/>
      <c r="O242" s="103">
        <f ca="1">IFERROR(__xludf.DUMMYFUNCTION("""COMPUTED_VALUE"""),0)</f>
        <v>0</v>
      </c>
      <c r="P242" s="103">
        <f ca="1">IFERROR(__xludf.DUMMYFUNCTION("""COMPUTED_VALUE"""),0)</f>
        <v>0</v>
      </c>
      <c r="Q242" s="103">
        <f ca="1">IFERROR(__xludf.DUMMYFUNCTION("""COMPUTED_VALUE"""),1)</f>
        <v>1</v>
      </c>
      <c r="R242" s="103">
        <f ca="1">IFERROR(__xludf.DUMMYFUNCTION("""COMPUTED_VALUE"""),3)</f>
        <v>3</v>
      </c>
      <c r="S242" s="103" t="str">
        <f ca="1">IFERROR(__xludf.DUMMYFUNCTION("""COMPUTED_VALUE"""),"N")</f>
        <v>N</v>
      </c>
      <c r="T242" s="103">
        <f ca="1">IFERROR(__xludf.DUMMYFUNCTION("""COMPUTED_VALUE"""),0)</f>
        <v>0</v>
      </c>
      <c r="U242" s="103">
        <f ca="1">IFERROR(__xludf.DUMMYFUNCTION("""COMPUTED_VALUE"""),3)</f>
        <v>3</v>
      </c>
      <c r="V242" s="103"/>
      <c r="W242" s="103"/>
      <c r="X242" s="103"/>
      <c r="Y242" s="103"/>
      <c r="Z242" s="103"/>
      <c r="AA242" s="103"/>
      <c r="AB242" s="103"/>
      <c r="AC242" s="103"/>
      <c r="AD242" s="103">
        <f ca="1">IFERROR(__xludf.DUMMYFUNCTION("""COMPUTED_VALUE"""),64)</f>
        <v>64</v>
      </c>
      <c r="AE242" s="103"/>
      <c r="AF242" s="103">
        <f ca="1">IFERROR(__xludf.DUMMYFUNCTION("""COMPUTED_VALUE"""),300)</f>
        <v>300</v>
      </c>
      <c r="AG242" s="103">
        <f ca="1">IFERROR(__xludf.DUMMYFUNCTION("""COMPUTED_VALUE"""),7)</f>
        <v>7</v>
      </c>
      <c r="AH242" s="103">
        <f ca="1">IFERROR(__xludf.DUMMYFUNCTION("""COMPUTED_VALUE"""),31)</f>
        <v>31</v>
      </c>
      <c r="AI242" s="103">
        <f ca="1">IFERROR(__xludf.DUMMYFUNCTION("""COMPUTED_VALUE"""),11)</f>
        <v>11</v>
      </c>
      <c r="AJ242" s="103" t="str">
        <f ca="1">IFERROR(__xludf.DUMMYFUNCTION("""COMPUTED_VALUE"""),"MORS")</f>
        <v>MORS</v>
      </c>
      <c r="AK242" s="103">
        <f ca="1">IFERROR(__xludf.DUMMYFUNCTION("""COMPUTED_VALUE"""),21)</f>
        <v>21</v>
      </c>
      <c r="AL242" s="103"/>
      <c r="AM242" s="103">
        <f ca="1">IFERROR(__xludf.DUMMYFUNCTION("""COMPUTED_VALUE"""),4)</f>
        <v>4</v>
      </c>
      <c r="AN242" s="103" t="str">
        <f ca="1">IFERROR(__xludf.DUMMYFUNCTION("""COMPUTED_VALUE"""),"Tail 54mm. p-p6 = 2.5mm. p9-p5 = 6mm. P6-P10 = 6mm. Bill tip to nares 8mm. [2.5 + 6 + 10]/[6 + 8] = 1.32")</f>
        <v>Tail 54mm. p-p6 = 2.5mm. p9-p5 = 6mm. P6-P10 = 6mm. Bill tip to nares 8mm. [2.5 + 6 + 10]/[6 + 8] = 1.32</v>
      </c>
      <c r="AO242" s="57" t="str">
        <f ca="1">IFERROR(__xludf.DUMMYFUNCTION("""COMPUTED_VALUE"""),"0A")</f>
        <v>0A</v>
      </c>
      <c r="AP242" s="103">
        <f ca="1">IFERROR(__xludf.DUMMYFUNCTION("""COMPUTED_VALUE"""),1)</f>
        <v>1</v>
      </c>
    </row>
    <row r="243" spans="1:42">
      <c r="A243" s="103">
        <f ca="1">IFERROR(__xludf.DUMMYFUNCTION("""COMPUTED_VALUE"""),6)</f>
        <v>6</v>
      </c>
      <c r="B243" s="103" t="str">
        <f ca="1">IFERROR(__xludf.DUMMYFUNCTION("""COMPUTED_VALUE"""),"NDS")</f>
        <v>NDS</v>
      </c>
      <c r="C243" s="103" t="str">
        <f ca="1">IFERROR(__xludf.DUMMYFUNCTION("""COMPUTED_VALUE"""),"N")</f>
        <v>N</v>
      </c>
      <c r="D243" s="103">
        <f ca="1">IFERROR(__xludf.DUMMYFUNCTION("""COMPUTED_VALUE"""),172176274)</f>
        <v>172176274</v>
      </c>
      <c r="E243" s="103" t="str">
        <f ca="1">IFERROR(__xludf.DUMMYFUNCTION("""COMPUTED_VALUE"""),"Puget Sound White-crowned Sparrow")</f>
        <v>Puget Sound White-crowned Sparrow</v>
      </c>
      <c r="F243" s="103" t="str">
        <f ca="1">IFERROR(__xludf.DUMMYFUNCTION("""COMPUTED_VALUE"""),"PSWS")</f>
        <v>PSWS</v>
      </c>
      <c r="G243" s="103">
        <f ca="1">IFERROR(__xludf.DUMMYFUNCTION("""COMPUTED_VALUE"""),2)</f>
        <v>2</v>
      </c>
      <c r="H243" s="103" t="str">
        <f ca="1">IFERROR(__xludf.DUMMYFUNCTION("""COMPUTED_VALUE"""),"J")</f>
        <v>J</v>
      </c>
      <c r="I243" s="103"/>
      <c r="J243" s="103" t="str">
        <f ca="1">IFERROR(__xludf.DUMMYFUNCTION("""COMPUTED_VALUE"""),"FPJ")</f>
        <v>FPJ</v>
      </c>
      <c r="K243" s="103" t="str">
        <f ca="1">IFERROR(__xludf.DUMMYFUNCTION("""COMPUTED_VALUE"""),"U")</f>
        <v>U</v>
      </c>
      <c r="L243" s="103"/>
      <c r="M243" s="103"/>
      <c r="N243" s="103"/>
      <c r="O243" s="103">
        <f ca="1">IFERROR(__xludf.DUMMYFUNCTION("""COMPUTED_VALUE"""),0)</f>
        <v>0</v>
      </c>
      <c r="P243" s="103">
        <f ca="1">IFERROR(__xludf.DUMMYFUNCTION("""COMPUTED_VALUE"""),0)</f>
        <v>0</v>
      </c>
      <c r="Q243" s="103">
        <f ca="1">IFERROR(__xludf.DUMMYFUNCTION("""COMPUTED_VALUE"""),1)</f>
        <v>1</v>
      </c>
      <c r="R243" s="103">
        <f ca="1">IFERROR(__xludf.DUMMYFUNCTION("""COMPUTED_VALUE"""),1)</f>
        <v>1</v>
      </c>
      <c r="S243" s="103" t="str">
        <f ca="1">IFERROR(__xludf.DUMMYFUNCTION("""COMPUTED_VALUE"""),"N")</f>
        <v>N</v>
      </c>
      <c r="T243" s="103">
        <f ca="1">IFERROR(__xludf.DUMMYFUNCTION("""COMPUTED_VALUE"""),1)</f>
        <v>1</v>
      </c>
      <c r="U243" s="103">
        <f ca="1">IFERROR(__xludf.DUMMYFUNCTION("""COMPUTED_VALUE"""),3)</f>
        <v>3</v>
      </c>
      <c r="V243" s="103"/>
      <c r="W243" s="103"/>
      <c r="X243" s="103"/>
      <c r="Y243" s="103"/>
      <c r="Z243" s="103"/>
      <c r="AA243" s="103"/>
      <c r="AB243" s="103"/>
      <c r="AC243" s="103"/>
      <c r="AD243" s="103">
        <f ca="1">IFERROR(__xludf.DUMMYFUNCTION("""COMPUTED_VALUE"""),71)</f>
        <v>71</v>
      </c>
      <c r="AE243" s="103">
        <f ca="1">IFERROR(__xludf.DUMMYFUNCTION("""COMPUTED_VALUE"""),20.8)</f>
        <v>20.8</v>
      </c>
      <c r="AF243" s="103">
        <f ca="1">IFERROR(__xludf.DUMMYFUNCTION("""COMPUTED_VALUE"""),300)</f>
        <v>300</v>
      </c>
      <c r="AG243" s="103">
        <f ca="1">IFERROR(__xludf.DUMMYFUNCTION("""COMPUTED_VALUE"""),7)</f>
        <v>7</v>
      </c>
      <c r="AH243" s="103">
        <f ca="1">IFERROR(__xludf.DUMMYFUNCTION("""COMPUTED_VALUE"""),31)</f>
        <v>31</v>
      </c>
      <c r="AI243" s="103">
        <f ca="1">IFERROR(__xludf.DUMMYFUNCTION("""COMPUTED_VALUE"""),1150)</f>
        <v>1150</v>
      </c>
      <c r="AJ243" s="103" t="str">
        <f ca="1">IFERROR(__xludf.DUMMYFUNCTION("""COMPUTED_VALUE"""),"MORS")</f>
        <v>MORS</v>
      </c>
      <c r="AK243" s="103">
        <f ca="1">IFERROR(__xludf.DUMMYFUNCTION("""COMPUTED_VALUE"""),21)</f>
        <v>21</v>
      </c>
      <c r="AL243" s="103"/>
      <c r="AM243" s="103"/>
      <c r="AN243" s="103"/>
      <c r="AO243" s="57" t="str">
        <f ca="1">IFERROR(__xludf.DUMMYFUNCTION("""COMPUTED_VALUE"""),"1B")</f>
        <v>1B</v>
      </c>
      <c r="AP243" s="103">
        <f ca="1">IFERROR(__xludf.DUMMYFUNCTION("""COMPUTED_VALUE"""),1)</f>
        <v>1</v>
      </c>
    </row>
    <row r="244" spans="1:42">
      <c r="A244" s="103">
        <f ca="1">IFERROR(__xludf.DUMMYFUNCTION("""COMPUTED_VALUE"""),7)</f>
        <v>7</v>
      </c>
      <c r="B244" s="103" t="str">
        <f ca="1">IFERROR(__xludf.DUMMYFUNCTION("""COMPUTED_VALUE"""),"NDS")</f>
        <v>NDS</v>
      </c>
      <c r="C244" s="103" t="str">
        <f ca="1">IFERROR(__xludf.DUMMYFUNCTION("""COMPUTED_VALUE"""),"R")</f>
        <v>R</v>
      </c>
      <c r="D244" s="103">
        <f ca="1">IFERROR(__xludf.DUMMYFUNCTION("""COMPUTED_VALUE"""),271150871)</f>
        <v>271150871</v>
      </c>
      <c r="E244" s="103" t="str">
        <f ca="1">IFERROR(__xludf.DUMMYFUNCTION("""COMPUTED_VALUE"""),"Swainson's Thrush")</f>
        <v>Swainson's Thrush</v>
      </c>
      <c r="F244" s="103" t="str">
        <f ca="1">IFERROR(__xludf.DUMMYFUNCTION("""COMPUTED_VALUE"""),"SWTH")</f>
        <v>SWTH</v>
      </c>
      <c r="G244" s="103">
        <f ca="1">IFERROR(__xludf.DUMMYFUNCTION("""COMPUTED_VALUE"""),1)</f>
        <v>1</v>
      </c>
      <c r="H244" s="103" t="str">
        <f ca="1">IFERROR(__xludf.DUMMYFUNCTION("""COMPUTED_VALUE"""),"P")</f>
        <v>P</v>
      </c>
      <c r="I244" s="103"/>
      <c r="J244" s="103" t="str">
        <f ca="1">IFERROR(__xludf.DUMMYFUNCTION("""COMPUTED_VALUE"""),"UAJ")</f>
        <v>UAJ</v>
      </c>
      <c r="K244" s="103" t="str">
        <f ca="1">IFERROR(__xludf.DUMMYFUNCTION("""COMPUTED_VALUE"""),"F")</f>
        <v>F</v>
      </c>
      <c r="L244" s="103" t="str">
        <f ca="1">IFERROR(__xludf.DUMMYFUNCTION("""COMPUTED_VALUE"""),"B")</f>
        <v>B</v>
      </c>
      <c r="M244" s="103"/>
      <c r="N244" s="103"/>
      <c r="O244" s="103">
        <f ca="1">IFERROR(__xludf.DUMMYFUNCTION("""COMPUTED_VALUE"""),0)</f>
        <v>0</v>
      </c>
      <c r="P244" s="103">
        <f ca="1">IFERROR(__xludf.DUMMYFUNCTION("""COMPUTED_VALUE"""),3)</f>
        <v>3</v>
      </c>
      <c r="Q244" s="103">
        <f ca="1">IFERROR(__xludf.DUMMYFUNCTION("""COMPUTED_VALUE"""),1)</f>
        <v>1</v>
      </c>
      <c r="R244" s="103">
        <f ca="1">IFERROR(__xludf.DUMMYFUNCTION("""COMPUTED_VALUE"""),0)</f>
        <v>0</v>
      </c>
      <c r="S244" s="103" t="str">
        <f ca="1">IFERROR(__xludf.DUMMYFUNCTION("""COMPUTED_VALUE"""),"N")</f>
        <v>N</v>
      </c>
      <c r="T244" s="103">
        <f ca="1">IFERROR(__xludf.DUMMYFUNCTION("""COMPUTED_VALUE"""),2)</f>
        <v>2</v>
      </c>
      <c r="U244" s="103"/>
      <c r="V244" s="103"/>
      <c r="W244" s="103"/>
      <c r="X244" s="103"/>
      <c r="Y244" s="103"/>
      <c r="Z244" s="103"/>
      <c r="AA244" s="103"/>
      <c r="AB244" s="103"/>
      <c r="AC244" s="103"/>
      <c r="AD244" s="103">
        <f ca="1">IFERROR(__xludf.DUMMYFUNCTION("""COMPUTED_VALUE"""),90)</f>
        <v>90</v>
      </c>
      <c r="AE244" s="103">
        <f ca="1">IFERROR(__xludf.DUMMYFUNCTION("""COMPUTED_VALUE"""),30.5)</f>
        <v>30.5</v>
      </c>
      <c r="AF244" s="103">
        <f ca="1">IFERROR(__xludf.DUMMYFUNCTION("""COMPUTED_VALUE"""),300)</f>
        <v>300</v>
      </c>
      <c r="AG244" s="103">
        <f ca="1">IFERROR(__xludf.DUMMYFUNCTION("""COMPUTED_VALUE"""),7)</f>
        <v>7</v>
      </c>
      <c r="AH244" s="103">
        <f ca="1">IFERROR(__xludf.DUMMYFUNCTION("""COMPUTED_VALUE"""),31)</f>
        <v>31</v>
      </c>
      <c r="AI244" s="103">
        <f ca="1">IFERROR(__xludf.DUMMYFUNCTION("""COMPUTED_VALUE"""),1122)</f>
        <v>1122</v>
      </c>
      <c r="AJ244" s="103" t="str">
        <f ca="1">IFERROR(__xludf.DUMMYFUNCTION("""COMPUTED_VALUE"""),"MORS")</f>
        <v>MORS</v>
      </c>
      <c r="AK244" s="103">
        <f ca="1">IFERROR(__xludf.DUMMYFUNCTION("""COMPUTED_VALUE"""),20)</f>
        <v>20</v>
      </c>
      <c r="AL244" s="103"/>
      <c r="AM244" s="103">
        <f ca="1">IFERROR(__xludf.DUMMYFUNCTION("""COMPUTED_VALUE"""),5)</f>
        <v>5</v>
      </c>
      <c r="AN244" s="103" t="str">
        <f ca="1">IFERROR(__xludf.DUMMYFUNCTION("""COMPUTED_VALUE"""),"P10 very pointed.")</f>
        <v>P10 very pointed.</v>
      </c>
      <c r="AO244" s="57" t="str">
        <f ca="1">IFERROR(__xludf.DUMMYFUNCTION("""COMPUTED_VALUE"""),"R")</f>
        <v>R</v>
      </c>
      <c r="AP244" s="103">
        <f ca="1">IFERROR(__xludf.DUMMYFUNCTION("""COMPUTED_VALUE"""),1)</f>
        <v>1</v>
      </c>
    </row>
    <row r="245" spans="1:42">
      <c r="A245" s="103">
        <f ca="1">IFERROR(__xludf.DUMMYFUNCTION("""COMPUTED_VALUE"""),1)</f>
        <v>1</v>
      </c>
      <c r="B245" s="103" t="str">
        <f ca="1">IFERROR(__xludf.DUMMYFUNCTION("""COMPUTED_VALUE"""),"JSM")</f>
        <v>JSM</v>
      </c>
      <c r="C245" s="103" t="str">
        <f ca="1">IFERROR(__xludf.DUMMYFUNCTION("""COMPUTED_VALUE"""),"N")</f>
        <v>N</v>
      </c>
      <c r="D245" s="103">
        <f ca="1">IFERROR(__xludf.DUMMYFUNCTION("""COMPUTED_VALUE"""),172176266)</f>
        <v>172176266</v>
      </c>
      <c r="E245" s="103" t="str">
        <f ca="1">IFERROR(__xludf.DUMMYFUNCTION("""COMPUTED_VALUE"""),"Song Sparrow")</f>
        <v>Song Sparrow</v>
      </c>
      <c r="F245" s="103" t="str">
        <f ca="1">IFERROR(__xludf.DUMMYFUNCTION("""COMPUTED_VALUE"""),"SOSP")</f>
        <v>SOSP</v>
      </c>
      <c r="G245" s="103">
        <f ca="1">IFERROR(__xludf.DUMMYFUNCTION("""COMPUTED_VALUE"""),2)</f>
        <v>2</v>
      </c>
      <c r="H245" s="103" t="str">
        <f ca="1">IFERROR(__xludf.DUMMYFUNCTION("""COMPUTED_VALUE"""),"J")</f>
        <v>J</v>
      </c>
      <c r="I245" s="103"/>
      <c r="J245" s="103" t="str">
        <f ca="1">IFERROR(__xludf.DUMMYFUNCTION("""COMPUTED_VALUE"""),"FCJ")</f>
        <v>FCJ</v>
      </c>
      <c r="K245" s="103"/>
      <c r="L245" s="103"/>
      <c r="M245" s="103"/>
      <c r="N245" s="103"/>
      <c r="O245" s="103">
        <f ca="1">IFERROR(__xludf.DUMMYFUNCTION("""COMPUTED_VALUE"""),0)</f>
        <v>0</v>
      </c>
      <c r="P245" s="103">
        <f ca="1">IFERROR(__xludf.DUMMYFUNCTION("""COMPUTED_VALUE"""),0)</f>
        <v>0</v>
      </c>
      <c r="Q245" s="103">
        <f ca="1">IFERROR(__xludf.DUMMYFUNCTION("""COMPUTED_VALUE"""),0)</f>
        <v>0</v>
      </c>
      <c r="R245" s="103">
        <f ca="1">IFERROR(__xludf.DUMMYFUNCTION("""COMPUTED_VALUE"""),0)</f>
        <v>0</v>
      </c>
      <c r="S245" s="103" t="str">
        <f ca="1">IFERROR(__xludf.DUMMYFUNCTION("""COMPUTED_VALUE"""),"N")</f>
        <v>N</v>
      </c>
      <c r="T245" s="103">
        <f ca="1">IFERROR(__xludf.DUMMYFUNCTION("""COMPUTED_VALUE"""),1)</f>
        <v>1</v>
      </c>
      <c r="U245" s="103">
        <f ca="1">IFERROR(__xludf.DUMMYFUNCTION("""COMPUTED_VALUE"""),3)</f>
        <v>3</v>
      </c>
      <c r="V245" s="103" t="str">
        <f ca="1">IFERROR(__xludf.DUMMYFUNCTION("""COMPUTED_VALUE"""),"J")</f>
        <v>J</v>
      </c>
      <c r="W245" s="103"/>
      <c r="X245" s="103"/>
      <c r="Y245" s="103"/>
      <c r="Z245" s="103"/>
      <c r="AA245" s="103"/>
      <c r="AB245" s="103"/>
      <c r="AC245" s="103"/>
      <c r="AD245" s="103">
        <f ca="1">IFERROR(__xludf.DUMMYFUNCTION("""COMPUTED_VALUE"""),65)</f>
        <v>65</v>
      </c>
      <c r="AE245" s="103">
        <f ca="1">IFERROR(__xludf.DUMMYFUNCTION("""COMPUTED_VALUE"""),23.8)</f>
        <v>23.8</v>
      </c>
      <c r="AF245" s="103">
        <f ca="1">IFERROR(__xludf.DUMMYFUNCTION("""COMPUTED_VALUE"""),300)</f>
        <v>300</v>
      </c>
      <c r="AG245" s="103">
        <f ca="1">IFERROR(__xludf.DUMMYFUNCTION("""COMPUTED_VALUE"""),7)</f>
        <v>7</v>
      </c>
      <c r="AH245" s="103">
        <f ca="1">IFERROR(__xludf.DUMMYFUNCTION("""COMPUTED_VALUE"""),31)</f>
        <v>31</v>
      </c>
      <c r="AI245" s="103">
        <f ca="1">IFERROR(__xludf.DUMMYFUNCTION("""COMPUTED_VALUE"""),830)</f>
        <v>830</v>
      </c>
      <c r="AJ245" s="103" t="str">
        <f ca="1">IFERROR(__xludf.DUMMYFUNCTION("""COMPUTED_VALUE"""),"MORS")</f>
        <v>MORS</v>
      </c>
      <c r="AK245" s="103">
        <f ca="1">IFERROR(__xludf.DUMMYFUNCTION("""COMPUTED_VALUE"""),20)</f>
        <v>20</v>
      </c>
      <c r="AL245" s="103"/>
      <c r="AM245" s="103"/>
      <c r="AN245" s="103"/>
      <c r="AO245" s="57" t="str">
        <f ca="1">IFERROR(__xludf.DUMMYFUNCTION("""COMPUTED_VALUE"""),"1B")</f>
        <v>1B</v>
      </c>
      <c r="AP245" s="103">
        <f ca="1">IFERROR(__xludf.DUMMYFUNCTION("""COMPUTED_VALUE"""),2)</f>
        <v>2</v>
      </c>
    </row>
    <row r="246" spans="1:42">
      <c r="A246" s="103">
        <f ca="1">IFERROR(__xludf.DUMMYFUNCTION("""COMPUTED_VALUE"""),2)</f>
        <v>2</v>
      </c>
      <c r="B246" s="103" t="str">
        <f ca="1">IFERROR(__xludf.DUMMYFUNCTION("""COMPUTED_VALUE"""),"JSM")</f>
        <v>JSM</v>
      </c>
      <c r="C246" s="103" t="str">
        <f ca="1">IFERROR(__xludf.DUMMYFUNCTION("""COMPUTED_VALUE"""),"N")</f>
        <v>N</v>
      </c>
      <c r="D246" s="103">
        <f ca="1">IFERROR(__xludf.DUMMYFUNCTION("""COMPUTED_VALUE"""),172176270)</f>
        <v>172176270</v>
      </c>
      <c r="E246" s="103" t="str">
        <f ca="1">IFERROR(__xludf.DUMMYFUNCTION("""COMPUTED_VALUE"""),"Song Sparrow")</f>
        <v>Song Sparrow</v>
      </c>
      <c r="F246" s="103" t="str">
        <f ca="1">IFERROR(__xludf.DUMMYFUNCTION("""COMPUTED_VALUE"""),"SOSP")</f>
        <v>SOSP</v>
      </c>
      <c r="G246" s="103">
        <f ca="1">IFERROR(__xludf.DUMMYFUNCTION("""COMPUTED_VALUE"""),2)</f>
        <v>2</v>
      </c>
      <c r="H246" s="103" t="str">
        <f ca="1">IFERROR(__xludf.DUMMYFUNCTION("""COMPUTED_VALUE"""),"J")</f>
        <v>J</v>
      </c>
      <c r="I246" s="103"/>
      <c r="J246" s="103" t="str">
        <f ca="1">IFERROR(__xludf.DUMMYFUNCTION("""COMPUTED_VALUE"""),"FCJ")</f>
        <v>FCJ</v>
      </c>
      <c r="K246" s="103"/>
      <c r="L246" s="103"/>
      <c r="M246" s="103"/>
      <c r="N246" s="103"/>
      <c r="O246" s="103">
        <f ca="1">IFERROR(__xludf.DUMMYFUNCTION("""COMPUTED_VALUE"""),0)</f>
        <v>0</v>
      </c>
      <c r="P246" s="103">
        <f ca="1">IFERROR(__xludf.DUMMYFUNCTION("""COMPUTED_VALUE"""),0)</f>
        <v>0</v>
      </c>
      <c r="Q246" s="103">
        <f ca="1">IFERROR(__xludf.DUMMYFUNCTION("""COMPUTED_VALUE"""),1)</f>
        <v>1</v>
      </c>
      <c r="R246" s="103">
        <f ca="1">IFERROR(__xludf.DUMMYFUNCTION("""COMPUTED_VALUE"""),0)</f>
        <v>0</v>
      </c>
      <c r="S246" s="103" t="str">
        <f ca="1">IFERROR(__xludf.DUMMYFUNCTION("""COMPUTED_VALUE"""),"N")</f>
        <v>N</v>
      </c>
      <c r="T246" s="103">
        <f ca="1">IFERROR(__xludf.DUMMYFUNCTION("""COMPUTED_VALUE"""),1)</f>
        <v>1</v>
      </c>
      <c r="U246" s="103">
        <f ca="1">IFERROR(__xludf.DUMMYFUNCTION("""COMPUTED_VALUE"""),3)</f>
        <v>3</v>
      </c>
      <c r="V246" s="103" t="str">
        <f ca="1">IFERROR(__xludf.DUMMYFUNCTION("""COMPUTED_VALUE"""),"J")</f>
        <v>J</v>
      </c>
      <c r="W246" s="103"/>
      <c r="X246" s="103"/>
      <c r="Y246" s="103"/>
      <c r="Z246" s="103"/>
      <c r="AA246" s="103" t="str">
        <f ca="1">IFERROR(__xludf.DUMMYFUNCTION("""COMPUTED_VALUE"""),"J")</f>
        <v>J</v>
      </c>
      <c r="AB246" s="103"/>
      <c r="AC246" s="103"/>
      <c r="AD246" s="103">
        <f ca="1">IFERROR(__xludf.DUMMYFUNCTION("""COMPUTED_VALUE"""),61)</f>
        <v>61</v>
      </c>
      <c r="AE246" s="103">
        <f ca="1">IFERROR(__xludf.DUMMYFUNCTION("""COMPUTED_VALUE"""),21.2)</f>
        <v>21.2</v>
      </c>
      <c r="AF246" s="103">
        <f ca="1">IFERROR(__xludf.DUMMYFUNCTION("""COMPUTED_VALUE"""),300)</f>
        <v>300</v>
      </c>
      <c r="AG246" s="103">
        <f ca="1">IFERROR(__xludf.DUMMYFUNCTION("""COMPUTED_VALUE"""),7)</f>
        <v>7</v>
      </c>
      <c r="AH246" s="103">
        <f ca="1">IFERROR(__xludf.DUMMYFUNCTION("""COMPUTED_VALUE"""),31)</f>
        <v>31</v>
      </c>
      <c r="AI246" s="103">
        <f ca="1">IFERROR(__xludf.DUMMYFUNCTION("""COMPUTED_VALUE"""),830)</f>
        <v>830</v>
      </c>
      <c r="AJ246" s="103" t="str">
        <f ca="1">IFERROR(__xludf.DUMMYFUNCTION("""COMPUTED_VALUE"""),"MORS")</f>
        <v>MORS</v>
      </c>
      <c r="AK246" s="103">
        <f ca="1">IFERROR(__xludf.DUMMYFUNCTION("""COMPUTED_VALUE"""),20)</f>
        <v>20</v>
      </c>
      <c r="AL246" s="103"/>
      <c r="AM246" s="103">
        <f ca="1">IFERROR(__xludf.DUMMYFUNCTION("""COMPUTED_VALUE"""),2)</f>
        <v>2</v>
      </c>
      <c r="AN246" s="103" t="str">
        <f ca="1">IFERROR(__xludf.DUMMYFUNCTION("""COMPUTED_VALUE"""),"Looks like CP points forward, likely male.")</f>
        <v>Looks like CP points forward, likely male.</v>
      </c>
      <c r="AO246" s="57" t="str">
        <f ca="1">IFERROR(__xludf.DUMMYFUNCTION("""COMPUTED_VALUE"""),"1B")</f>
        <v>1B</v>
      </c>
      <c r="AP246" s="103">
        <f ca="1">IFERROR(__xludf.DUMMYFUNCTION("""COMPUTED_VALUE"""),2)</f>
        <v>2</v>
      </c>
    </row>
    <row r="247" spans="1:42">
      <c r="A247" s="103">
        <f ca="1">IFERROR(__xludf.DUMMYFUNCTION("""COMPUTED_VALUE"""),3)</f>
        <v>3</v>
      </c>
      <c r="B247" s="103" t="str">
        <f ca="1">IFERROR(__xludf.DUMMYFUNCTION("""COMPUTED_VALUE"""),"JSM")</f>
        <v>JSM</v>
      </c>
      <c r="C247" s="103" t="str">
        <f ca="1">IFERROR(__xludf.DUMMYFUNCTION("""COMPUTED_VALUE"""),"N")</f>
        <v>N</v>
      </c>
      <c r="D247" s="103">
        <f ca="1">IFERROR(__xludf.DUMMYFUNCTION("""COMPUTED_VALUE"""),288029979)</f>
        <v>288029979</v>
      </c>
      <c r="E247" s="103" t="str">
        <f ca="1">IFERROR(__xludf.DUMMYFUNCTION("""COMPUTED_VALUE"""),"Willow Flycatcher")</f>
        <v>Willow Flycatcher</v>
      </c>
      <c r="F247" s="103" t="str">
        <f ca="1">IFERROR(__xludf.DUMMYFUNCTION("""COMPUTED_VALUE"""),"WIFL")</f>
        <v>WIFL</v>
      </c>
      <c r="G247" s="103">
        <f ca="1">IFERROR(__xludf.DUMMYFUNCTION("""COMPUTED_VALUE"""),5)</f>
        <v>5</v>
      </c>
      <c r="H247" s="103" t="str">
        <f ca="1">IFERROR(__xludf.DUMMYFUNCTION("""COMPUTED_VALUE"""),"P")</f>
        <v>P</v>
      </c>
      <c r="I247" s="103"/>
      <c r="J247" s="103" t="str">
        <f ca="1">IFERROR(__xludf.DUMMYFUNCTION("""COMPUTED_VALUE"""),"FCF")</f>
        <v>FCF</v>
      </c>
      <c r="K247" s="103"/>
      <c r="L247" s="103"/>
      <c r="M247" s="103"/>
      <c r="N247" s="103">
        <f ca="1">IFERROR(__xludf.DUMMYFUNCTION("""COMPUTED_VALUE"""),6)</f>
        <v>6</v>
      </c>
      <c r="O247" s="103"/>
      <c r="P247" s="103"/>
      <c r="Q247" s="103"/>
      <c r="R247" s="103">
        <f ca="1">IFERROR(__xludf.DUMMYFUNCTION("""COMPUTED_VALUE"""),0)</f>
        <v>0</v>
      </c>
      <c r="S247" s="103" t="str">
        <f ca="1">IFERROR(__xludf.DUMMYFUNCTION("""COMPUTED_VALUE"""),"N")</f>
        <v>N</v>
      </c>
      <c r="T247" s="103">
        <f ca="1">IFERROR(__xludf.DUMMYFUNCTION("""COMPUTED_VALUE"""),1)</f>
        <v>1</v>
      </c>
      <c r="U247" s="103"/>
      <c r="V247" s="103"/>
      <c r="W247" s="103"/>
      <c r="X247" s="103"/>
      <c r="Y247" s="103" t="str">
        <f ca="1">IFERROR(__xludf.DUMMYFUNCTION("""COMPUTED_VALUE"""),"F")</f>
        <v>F</v>
      </c>
      <c r="Z247" s="103"/>
      <c r="AA247" s="103"/>
      <c r="AB247" s="103"/>
      <c r="AC247" s="103"/>
      <c r="AD247" s="103"/>
      <c r="AE247" s="103"/>
      <c r="AF247" s="103">
        <f ca="1">IFERROR(__xludf.DUMMYFUNCTION("""COMPUTED_VALUE"""),300)</f>
        <v>300</v>
      </c>
      <c r="AG247" s="103">
        <f ca="1">IFERROR(__xludf.DUMMYFUNCTION("""COMPUTED_VALUE"""),7)</f>
        <v>7</v>
      </c>
      <c r="AH247" s="103">
        <f ca="1">IFERROR(__xludf.DUMMYFUNCTION("""COMPUTED_VALUE"""),31)</f>
        <v>31</v>
      </c>
      <c r="AI247" s="103">
        <f ca="1">IFERROR(__xludf.DUMMYFUNCTION("""COMPUTED_VALUE"""),9)</f>
        <v>9</v>
      </c>
      <c r="AJ247" s="103" t="str">
        <f ca="1">IFERROR(__xludf.DUMMYFUNCTION("""COMPUTED_VALUE"""),"MORS")</f>
        <v>MORS</v>
      </c>
      <c r="AK247" s="103">
        <f ca="1">IFERROR(__xludf.DUMMYFUNCTION("""COMPUTED_VALUE"""),21)</f>
        <v>21</v>
      </c>
      <c r="AL247" s="103"/>
      <c r="AM247" s="103">
        <f ca="1">IFERROR(__xludf.DUMMYFUNCTION("""COMPUTED_VALUE"""),3)</f>
        <v>3</v>
      </c>
      <c r="AN247" s="103" t="str">
        <f ca="1">IFERROR(__xludf.DUMMYFUNCTION("""COMPUTED_VALUE"""),"Bird escapted during skulling.")</f>
        <v>Bird escapted during skulling.</v>
      </c>
      <c r="AO247" s="57">
        <f ca="1">IFERROR(__xludf.DUMMYFUNCTION("""COMPUTED_VALUE"""),0)</f>
        <v>0</v>
      </c>
      <c r="AP247" s="103">
        <f ca="1">IFERROR(__xludf.DUMMYFUNCTION("""COMPUTED_VALUE"""),2)</f>
        <v>2</v>
      </c>
    </row>
    <row r="248" spans="1:42">
      <c r="A248" s="103">
        <f ca="1">IFERROR(__xludf.DUMMYFUNCTION("""COMPUTED_VALUE"""),4)</f>
        <v>4</v>
      </c>
      <c r="B248" s="103" t="str">
        <f ca="1">IFERROR(__xludf.DUMMYFUNCTION("""COMPUTED_VALUE"""),"JSM")</f>
        <v>JSM</v>
      </c>
      <c r="C248" s="103" t="str">
        <f ca="1">IFERROR(__xludf.DUMMYFUNCTION("""COMPUTED_VALUE"""),"N")</f>
        <v>N</v>
      </c>
      <c r="D248" s="103">
        <f ca="1">IFERROR(__xludf.DUMMYFUNCTION("""COMPUTED_VALUE"""),288029981)</f>
        <v>288029981</v>
      </c>
      <c r="E248" s="103" t="str">
        <f ca="1">IFERROR(__xludf.DUMMYFUNCTION("""COMPUTED_VALUE"""),"Black-capped Chickadee")</f>
        <v>Black-capped Chickadee</v>
      </c>
      <c r="F248" s="103" t="str">
        <f ca="1">IFERROR(__xludf.DUMMYFUNCTION("""COMPUTED_VALUE"""),"BCCH")</f>
        <v>BCCH</v>
      </c>
      <c r="G248" s="103">
        <f ca="1">IFERROR(__xludf.DUMMYFUNCTION("""COMPUTED_VALUE"""),2)</f>
        <v>2</v>
      </c>
      <c r="H248" s="103" t="str">
        <f ca="1">IFERROR(__xludf.DUMMYFUNCTION("""COMPUTED_VALUE"""),"J")</f>
        <v>J</v>
      </c>
      <c r="I248" s="103"/>
      <c r="J248" s="103" t="str">
        <f ca="1">IFERROR(__xludf.DUMMYFUNCTION("""COMPUTED_VALUE"""),"FCJ")</f>
        <v>FCJ</v>
      </c>
      <c r="K248" s="103"/>
      <c r="L248" s="103"/>
      <c r="M248" s="103"/>
      <c r="N248" s="103">
        <f ca="1">IFERROR(__xludf.DUMMYFUNCTION("""COMPUTED_VALUE"""),2)</f>
        <v>2</v>
      </c>
      <c r="O248" s="103">
        <f ca="1">IFERROR(__xludf.DUMMYFUNCTION("""COMPUTED_VALUE"""),0)</f>
        <v>0</v>
      </c>
      <c r="P248" s="103">
        <f ca="1">IFERROR(__xludf.DUMMYFUNCTION("""COMPUTED_VALUE"""),0)</f>
        <v>0</v>
      </c>
      <c r="Q248" s="103">
        <f ca="1">IFERROR(__xludf.DUMMYFUNCTION("""COMPUTED_VALUE"""),1)</f>
        <v>1</v>
      </c>
      <c r="R248" s="103">
        <f ca="1">IFERROR(__xludf.DUMMYFUNCTION("""COMPUTED_VALUE"""),0)</f>
        <v>0</v>
      </c>
      <c r="S248" s="103" t="str">
        <f ca="1">IFERROR(__xludf.DUMMYFUNCTION("""COMPUTED_VALUE"""),"N")</f>
        <v>N</v>
      </c>
      <c r="T248" s="103">
        <f ca="1">IFERROR(__xludf.DUMMYFUNCTION("""COMPUTED_VALUE"""),1)</f>
        <v>1</v>
      </c>
      <c r="U248" s="103">
        <f ca="1">IFERROR(__xludf.DUMMYFUNCTION("""COMPUTED_VALUE"""),3)</f>
        <v>3</v>
      </c>
      <c r="V248" s="103"/>
      <c r="W248" s="103"/>
      <c r="X248" s="103"/>
      <c r="Y248" s="103"/>
      <c r="Z248" s="103"/>
      <c r="AA248" s="103"/>
      <c r="AB248" s="103"/>
      <c r="AC248" s="103"/>
      <c r="AD248" s="103">
        <f ca="1">IFERROR(__xludf.DUMMYFUNCTION("""COMPUTED_VALUE"""),60)</f>
        <v>60</v>
      </c>
      <c r="AE248" s="103">
        <f ca="1">IFERROR(__xludf.DUMMYFUNCTION("""COMPUTED_VALUE"""),10.4)</f>
        <v>10.4</v>
      </c>
      <c r="AF248" s="103">
        <f ca="1">IFERROR(__xludf.DUMMYFUNCTION("""COMPUTED_VALUE"""),300)</f>
        <v>300</v>
      </c>
      <c r="AG248" s="103">
        <f ca="1">IFERROR(__xludf.DUMMYFUNCTION("""COMPUTED_VALUE"""),7)</f>
        <v>7</v>
      </c>
      <c r="AH248" s="103">
        <f ca="1">IFERROR(__xludf.DUMMYFUNCTION("""COMPUTED_VALUE"""),31)</f>
        <v>31</v>
      </c>
      <c r="AI248" s="103">
        <f ca="1">IFERROR(__xludf.DUMMYFUNCTION("""COMPUTED_VALUE"""),950)</f>
        <v>950</v>
      </c>
      <c r="AJ248" s="103" t="str">
        <f ca="1">IFERROR(__xludf.DUMMYFUNCTION("""COMPUTED_VALUE"""),"MORS")</f>
        <v>MORS</v>
      </c>
      <c r="AK248" s="103">
        <f ca="1">IFERROR(__xludf.DUMMYFUNCTION("""COMPUTED_VALUE"""),14)</f>
        <v>14</v>
      </c>
      <c r="AL248" s="103"/>
      <c r="AM248" s="103">
        <f ca="1">IFERROR(__xludf.DUMMYFUNCTION("""COMPUTED_VALUE"""),4)</f>
        <v>4</v>
      </c>
      <c r="AN248" s="103" t="str">
        <f ca="1">IFERROR(__xludf.DUMMYFUNCTION("""COMPUTED_VALUE"""),"White does not wrap around R6. Fault bar on end of tail.")</f>
        <v>White does not wrap around R6. Fault bar on end of tail.</v>
      </c>
      <c r="AO248" s="57">
        <f ca="1">IFERROR(__xludf.DUMMYFUNCTION("""COMPUTED_VALUE"""),0)</f>
        <v>0</v>
      </c>
      <c r="AP248" s="103">
        <f ca="1">IFERROR(__xludf.DUMMYFUNCTION("""COMPUTED_VALUE"""),2)</f>
        <v>2</v>
      </c>
    </row>
    <row r="249" spans="1:42">
      <c r="A249" s="103">
        <f ca="1">IFERROR(__xludf.DUMMYFUNCTION("""COMPUTED_VALUE"""),5)</f>
        <v>5</v>
      </c>
      <c r="B249" s="103" t="str">
        <f ca="1">IFERROR(__xludf.DUMMYFUNCTION("""COMPUTED_VALUE"""),"JSM")</f>
        <v>JSM</v>
      </c>
      <c r="C249" s="103" t="str">
        <f ca="1">IFERROR(__xludf.DUMMYFUNCTION("""COMPUTED_VALUE"""),"N")</f>
        <v>N</v>
      </c>
      <c r="D249" s="103">
        <f ca="1">IFERROR(__xludf.DUMMYFUNCTION("""COMPUTED_VALUE"""),172176272)</f>
        <v>172176272</v>
      </c>
      <c r="E249" s="103" t="str">
        <f ca="1">IFERROR(__xludf.DUMMYFUNCTION("""COMPUTED_VALUE"""),"Song Sparrow")</f>
        <v>Song Sparrow</v>
      </c>
      <c r="F249" s="103" t="str">
        <f ca="1">IFERROR(__xludf.DUMMYFUNCTION("""COMPUTED_VALUE"""),"SOSP")</f>
        <v>SOSP</v>
      </c>
      <c r="G249" s="103">
        <f ca="1">IFERROR(__xludf.DUMMYFUNCTION("""COMPUTED_VALUE"""),2)</f>
        <v>2</v>
      </c>
      <c r="H249" s="103" t="str">
        <f ca="1">IFERROR(__xludf.DUMMYFUNCTION("""COMPUTED_VALUE"""),"J")</f>
        <v>J</v>
      </c>
      <c r="I249" s="103"/>
      <c r="J249" s="103" t="str">
        <f ca="1">IFERROR(__xludf.DUMMYFUNCTION("""COMPUTED_VALUE"""),"FCJ")</f>
        <v>FCJ</v>
      </c>
      <c r="K249" s="103"/>
      <c r="L249" s="103"/>
      <c r="M249" s="103"/>
      <c r="N249" s="103"/>
      <c r="O249" s="103">
        <f ca="1">IFERROR(__xludf.DUMMYFUNCTION("""COMPUTED_VALUE"""),0)</f>
        <v>0</v>
      </c>
      <c r="P249" s="103">
        <f ca="1">IFERROR(__xludf.DUMMYFUNCTION("""COMPUTED_VALUE"""),0)</f>
        <v>0</v>
      </c>
      <c r="Q249" s="103">
        <f ca="1">IFERROR(__xludf.DUMMYFUNCTION("""COMPUTED_VALUE"""),1)</f>
        <v>1</v>
      </c>
      <c r="R249" s="103">
        <f ca="1">IFERROR(__xludf.DUMMYFUNCTION("""COMPUTED_VALUE"""),0)</f>
        <v>0</v>
      </c>
      <c r="S249" s="103" t="str">
        <f ca="1">IFERROR(__xludf.DUMMYFUNCTION("""COMPUTED_VALUE"""),"N")</f>
        <v>N</v>
      </c>
      <c r="T249" s="103">
        <f ca="1">IFERROR(__xludf.DUMMYFUNCTION("""COMPUTED_VALUE"""),1)</f>
        <v>1</v>
      </c>
      <c r="U249" s="103">
        <f ca="1">IFERROR(__xludf.DUMMYFUNCTION("""COMPUTED_VALUE"""),3)</f>
        <v>3</v>
      </c>
      <c r="V249" s="103"/>
      <c r="W249" s="103"/>
      <c r="X249" s="103"/>
      <c r="Y249" s="103"/>
      <c r="Z249" s="103"/>
      <c r="AA249" s="103"/>
      <c r="AB249" s="103"/>
      <c r="AC249" s="103"/>
      <c r="AD249" s="103">
        <f ca="1">IFERROR(__xludf.DUMMYFUNCTION("""COMPUTED_VALUE"""),59)</f>
        <v>59</v>
      </c>
      <c r="AE249" s="103">
        <f ca="1">IFERROR(__xludf.DUMMYFUNCTION("""COMPUTED_VALUE"""),19.6)</f>
        <v>19.600000000000001</v>
      </c>
      <c r="AF249" s="103">
        <f ca="1">IFERROR(__xludf.DUMMYFUNCTION("""COMPUTED_VALUE"""),300)</f>
        <v>300</v>
      </c>
      <c r="AG249" s="103">
        <f ca="1">IFERROR(__xludf.DUMMYFUNCTION("""COMPUTED_VALUE"""),7)</f>
        <v>7</v>
      </c>
      <c r="AH249" s="103">
        <f ca="1">IFERROR(__xludf.DUMMYFUNCTION("""COMPUTED_VALUE"""),31)</f>
        <v>31</v>
      </c>
      <c r="AI249" s="103">
        <f ca="1">IFERROR(__xludf.DUMMYFUNCTION("""COMPUTED_VALUE"""),1110)</f>
        <v>1110</v>
      </c>
      <c r="AJ249" s="103" t="str">
        <f ca="1">IFERROR(__xludf.DUMMYFUNCTION("""COMPUTED_VALUE"""),"MORS")</f>
        <v>MORS</v>
      </c>
      <c r="AK249" s="103">
        <f ca="1">IFERROR(__xludf.DUMMYFUNCTION("""COMPUTED_VALUE"""),21)</f>
        <v>21</v>
      </c>
      <c r="AL249" s="103"/>
      <c r="AM249" s="103"/>
      <c r="AN249" s="103"/>
      <c r="AO249" s="57" t="str">
        <f ca="1">IFERROR(__xludf.DUMMYFUNCTION("""COMPUTED_VALUE"""),"1B")</f>
        <v>1B</v>
      </c>
      <c r="AP249" s="103">
        <f ca="1">IFERROR(__xludf.DUMMYFUNCTION("""COMPUTED_VALUE"""),2)</f>
        <v>2</v>
      </c>
    </row>
    <row r="250" spans="1:42">
      <c r="A250" s="103">
        <f ca="1">IFERROR(__xludf.DUMMYFUNCTION("""COMPUTED_VALUE"""),6)</f>
        <v>6</v>
      </c>
      <c r="B250" s="103" t="str">
        <f ca="1">IFERROR(__xludf.DUMMYFUNCTION("""COMPUTED_VALUE"""),"JSM")</f>
        <v>JSM</v>
      </c>
      <c r="C250" s="103" t="str">
        <f ca="1">IFERROR(__xludf.DUMMYFUNCTION("""COMPUTED_VALUE"""),"U")</f>
        <v>U</v>
      </c>
      <c r="D250" s="103"/>
      <c r="E250" s="103" t="str">
        <f ca="1">IFERROR(__xludf.DUMMYFUNCTION("""COMPUTED_VALUE"""),"Anna's Hummingbird")</f>
        <v>Anna's Hummingbird</v>
      </c>
      <c r="F250" s="103" t="str">
        <f ca="1">IFERROR(__xludf.DUMMYFUNCTION("""COMPUTED_VALUE"""),"ANHU")</f>
        <v>ANHU</v>
      </c>
      <c r="G250" s="103">
        <f ca="1">IFERROR(__xludf.DUMMYFUNCTION("""COMPUTED_VALUE"""),5)</f>
        <v>5</v>
      </c>
      <c r="H250" s="103" t="str">
        <f ca="1">IFERROR(__xludf.DUMMYFUNCTION("""COMPUTED_VALUE"""),"P")</f>
        <v>P</v>
      </c>
      <c r="I250" s="103"/>
      <c r="J250" s="103" t="str">
        <f ca="1">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 ca="1">IFERROR(__xludf.DUMMYFUNCTION("""COMPUTED_VALUE"""),7)</f>
        <v>7</v>
      </c>
      <c r="AH250" s="103">
        <f ca="1">IFERROR(__xludf.DUMMYFUNCTION("""COMPUTED_VALUE"""),31)</f>
        <v>31</v>
      </c>
      <c r="AI250" s="103">
        <f ca="1">IFERROR(__xludf.DUMMYFUNCTION("""COMPUTED_VALUE"""),1040)</f>
        <v>1040</v>
      </c>
      <c r="AJ250" s="103" t="str">
        <f ca="1">IFERROR(__xludf.DUMMYFUNCTION("""COMPUTED_VALUE"""),"MORS")</f>
        <v>MORS</v>
      </c>
      <c r="AK250" s="103">
        <f ca="1">IFERROR(__xludf.DUMMYFUNCTION("""COMPUTED_VALUE"""),15)</f>
        <v>15</v>
      </c>
      <c r="AL250" s="103"/>
      <c r="AM250" s="103"/>
      <c r="AN250" s="103"/>
      <c r="AO250" s="57" t="str">
        <f ca="1">IFERROR(__xludf.DUMMYFUNCTION("""COMPUTED_VALUE"""),"U")</f>
        <v>U</v>
      </c>
      <c r="AP250" s="103">
        <f ca="1">IFERROR(__xludf.DUMMYFUNCTION("""COMPUTED_VALUE"""),2)</f>
        <v>2</v>
      </c>
    </row>
    <row r="251" spans="1:42">
      <c r="A251" s="103">
        <f ca="1">IFERROR(__xludf.DUMMYFUNCTION("""COMPUTED_VALUE"""),7)</f>
        <v>7</v>
      </c>
      <c r="B251" s="103" t="str">
        <f ca="1">IFERROR(__xludf.DUMMYFUNCTION("""COMPUTED_VALUE"""),"JSM")</f>
        <v>JSM</v>
      </c>
      <c r="C251" s="103" t="str">
        <f ca="1">IFERROR(__xludf.DUMMYFUNCTION("""COMPUTED_VALUE"""),"N")</f>
        <v>N</v>
      </c>
      <c r="D251" s="103">
        <f ca="1">IFERROR(__xludf.DUMMYFUNCTION("""COMPUTED_VALUE"""),288029982)</f>
        <v>288029982</v>
      </c>
      <c r="E251" s="103" t="str">
        <f ca="1">IFERROR(__xludf.DUMMYFUNCTION("""COMPUTED_VALUE"""),"Common Yellowthroat")</f>
        <v>Common Yellowthroat</v>
      </c>
      <c r="F251" s="103" t="str">
        <f ca="1">IFERROR(__xludf.DUMMYFUNCTION("""COMPUTED_VALUE"""),"COYE")</f>
        <v>COYE</v>
      </c>
      <c r="G251" s="103">
        <f ca="1">IFERROR(__xludf.DUMMYFUNCTION("""COMPUTED_VALUE"""),1)</f>
        <v>1</v>
      </c>
      <c r="H251" s="103" t="str">
        <f ca="1">IFERROR(__xludf.DUMMYFUNCTION("""COMPUTED_VALUE"""),"P")</f>
        <v>P</v>
      </c>
      <c r="I251" s="103"/>
      <c r="J251" s="103" t="str">
        <f ca="1">IFERROR(__xludf.DUMMYFUNCTION("""COMPUTED_VALUE"""),"DPB")</f>
        <v>DPB</v>
      </c>
      <c r="K251" s="103"/>
      <c r="L251" s="103"/>
      <c r="M251" s="103"/>
      <c r="N251" s="103"/>
      <c r="O251" s="103">
        <f ca="1">IFERROR(__xludf.DUMMYFUNCTION("""COMPUTED_VALUE"""),0)</f>
        <v>0</v>
      </c>
      <c r="P251" s="103">
        <f ca="1">IFERROR(__xludf.DUMMYFUNCTION("""COMPUTED_VALUE"""),4)</f>
        <v>4</v>
      </c>
      <c r="Q251" s="103">
        <f ca="1">IFERROR(__xludf.DUMMYFUNCTION("""COMPUTED_VALUE"""),1)</f>
        <v>1</v>
      </c>
      <c r="R251" s="103">
        <f ca="1">IFERROR(__xludf.DUMMYFUNCTION("""COMPUTED_VALUE"""),2)</f>
        <v>2</v>
      </c>
      <c r="S251" s="103" t="str">
        <f ca="1">IFERROR(__xludf.DUMMYFUNCTION("""COMPUTED_VALUE"""),"S")</f>
        <v>S</v>
      </c>
      <c r="T251" s="103">
        <f ca="1">IFERROR(__xludf.DUMMYFUNCTION("""COMPUTED_VALUE"""),2)</f>
        <v>2</v>
      </c>
      <c r="U251" s="103"/>
      <c r="V251" s="103" t="str">
        <f ca="1">IFERROR(__xludf.DUMMYFUNCTION("""COMPUTED_VALUE"""),"M")</f>
        <v>M</v>
      </c>
      <c r="W251" s="103"/>
      <c r="X251" s="103" t="str">
        <f ca="1">IFERROR(__xludf.DUMMYFUNCTION("""COMPUTED_VALUE"""),"M")</f>
        <v>M</v>
      </c>
      <c r="Y251" s="103"/>
      <c r="Z251" s="103"/>
      <c r="AA251" s="103"/>
      <c r="AB251" s="103"/>
      <c r="AC251" s="103"/>
      <c r="AD251" s="103">
        <f ca="1">IFERROR(__xludf.DUMMYFUNCTION("""COMPUTED_VALUE"""),50)</f>
        <v>50</v>
      </c>
      <c r="AE251" s="103">
        <f ca="1">IFERROR(__xludf.DUMMYFUNCTION("""COMPUTED_VALUE"""),11.2)</f>
        <v>11.2</v>
      </c>
      <c r="AF251" s="103">
        <f ca="1">IFERROR(__xludf.DUMMYFUNCTION("""COMPUTED_VALUE"""),300)</f>
        <v>300</v>
      </c>
      <c r="AG251" s="103">
        <f ca="1">IFERROR(__xludf.DUMMYFUNCTION("""COMPUTED_VALUE"""),7)</f>
        <v>7</v>
      </c>
      <c r="AH251" s="103">
        <f ca="1">IFERROR(__xludf.DUMMYFUNCTION("""COMPUTED_VALUE"""),31)</f>
        <v>31</v>
      </c>
      <c r="AI251" s="103">
        <f ca="1">IFERROR(__xludf.DUMMYFUNCTION("""COMPUTED_VALUE"""),1220)</f>
        <v>1220</v>
      </c>
      <c r="AJ251" s="103" t="str">
        <f ca="1">IFERROR(__xludf.DUMMYFUNCTION("""COMPUTED_VALUE"""),"MORS")</f>
        <v>MORS</v>
      </c>
      <c r="AK251" s="103">
        <f ca="1">IFERROR(__xludf.DUMMYFUNCTION("""COMPUTED_VALUE"""),21)</f>
        <v>21</v>
      </c>
      <c r="AL251" s="103"/>
      <c r="AM251" s="103"/>
      <c r="AN251" s="103"/>
      <c r="AO251" s="57">
        <f ca="1">IFERROR(__xludf.DUMMYFUNCTION("""COMPUTED_VALUE"""),0)</f>
        <v>0</v>
      </c>
      <c r="AP251" s="103">
        <f ca="1">IFERROR(__xludf.DUMMYFUNCTION("""COMPUTED_VALUE"""),2)</f>
        <v>2</v>
      </c>
    </row>
    <row r="252" spans="1:42">
      <c r="A252" s="103">
        <f ca="1">IFERROR(__xludf.DUMMYFUNCTION("""COMPUTED_VALUE"""),1)</f>
        <v>1</v>
      </c>
      <c r="B252" s="103" t="str">
        <f ca="1">IFERROR(__xludf.DUMMYFUNCTION("""COMPUTED_VALUE"""),"JHT")</f>
        <v>JHT</v>
      </c>
      <c r="C252" s="103" t="str">
        <f ca="1">IFERROR(__xludf.DUMMYFUNCTION("""COMPUTED_VALUE"""),"N")</f>
        <v>N</v>
      </c>
      <c r="D252" s="103">
        <f ca="1">IFERROR(__xludf.DUMMYFUNCTION("""COMPUTED_VALUE"""),172176267)</f>
        <v>172176267</v>
      </c>
      <c r="E252" s="103" t="str">
        <f ca="1">IFERROR(__xludf.DUMMYFUNCTION("""COMPUTED_VALUE"""),"Song Sparrow")</f>
        <v>Song Sparrow</v>
      </c>
      <c r="F252" s="103" t="str">
        <f ca="1">IFERROR(__xludf.DUMMYFUNCTION("""COMPUTED_VALUE"""),"SOSP")</f>
        <v>SOSP</v>
      </c>
      <c r="G252" s="103">
        <f ca="1">IFERROR(__xludf.DUMMYFUNCTION("""COMPUTED_VALUE"""),2)</f>
        <v>2</v>
      </c>
      <c r="H252" s="103" t="str">
        <f ca="1">IFERROR(__xludf.DUMMYFUNCTION("""COMPUTED_VALUE"""),"S")</f>
        <v>S</v>
      </c>
      <c r="I252" s="103" t="str">
        <f ca="1">IFERROR(__xludf.DUMMYFUNCTION("""COMPUTED_VALUE"""),"J")</f>
        <v>J</v>
      </c>
      <c r="J252" s="103" t="str">
        <f ca="1">IFERROR(__xludf.DUMMYFUNCTION("""COMPUTED_VALUE"""),"FCJ")</f>
        <v>FCJ</v>
      </c>
      <c r="K252" s="103" t="str">
        <f ca="1">IFERROR(__xludf.DUMMYFUNCTION("""COMPUTED_VALUE"""),"U")</f>
        <v>U</v>
      </c>
      <c r="L252" s="103"/>
      <c r="M252" s="103"/>
      <c r="N252" s="103">
        <f ca="1">IFERROR(__xludf.DUMMYFUNCTION("""COMPUTED_VALUE"""),3)</f>
        <v>3</v>
      </c>
      <c r="O252" s="103">
        <f ca="1">IFERROR(__xludf.DUMMYFUNCTION("""COMPUTED_VALUE"""),0)</f>
        <v>0</v>
      </c>
      <c r="P252" s="103">
        <f ca="1">IFERROR(__xludf.DUMMYFUNCTION("""COMPUTED_VALUE"""),0)</f>
        <v>0</v>
      </c>
      <c r="Q252" s="103">
        <f ca="1">IFERROR(__xludf.DUMMYFUNCTION("""COMPUTED_VALUE"""),3)</f>
        <v>3</v>
      </c>
      <c r="R252" s="103">
        <f ca="1">IFERROR(__xludf.DUMMYFUNCTION("""COMPUTED_VALUE"""),0)</f>
        <v>0</v>
      </c>
      <c r="S252" s="103" t="str">
        <f ca="1">IFERROR(__xludf.DUMMYFUNCTION("""COMPUTED_VALUE"""),"N")</f>
        <v>N</v>
      </c>
      <c r="T252" s="103">
        <f ca="1">IFERROR(__xludf.DUMMYFUNCTION("""COMPUTED_VALUE"""),1)</f>
        <v>1</v>
      </c>
      <c r="U252" s="103">
        <f ca="1">IFERROR(__xludf.DUMMYFUNCTION("""COMPUTED_VALUE"""),3)</f>
        <v>3</v>
      </c>
      <c r="V252" s="103"/>
      <c r="W252" s="103"/>
      <c r="X252" s="103"/>
      <c r="Y252" s="103"/>
      <c r="Z252" s="103"/>
      <c r="AA252" s="103"/>
      <c r="AB252" s="103"/>
      <c r="AC252" s="103"/>
      <c r="AD252" s="103">
        <f ca="1">IFERROR(__xludf.DUMMYFUNCTION("""COMPUTED_VALUE"""),66)</f>
        <v>66</v>
      </c>
      <c r="AE252" s="103">
        <f ca="1">IFERROR(__xludf.DUMMYFUNCTION("""COMPUTED_VALUE"""),24.4)</f>
        <v>24.4</v>
      </c>
      <c r="AF252" s="103">
        <f ca="1">IFERROR(__xludf.DUMMYFUNCTION("""COMPUTED_VALUE"""),300)</f>
        <v>300</v>
      </c>
      <c r="AG252" s="103">
        <f ca="1">IFERROR(__xludf.DUMMYFUNCTION("""COMPUTED_VALUE"""),7)</f>
        <v>7</v>
      </c>
      <c r="AH252" s="103">
        <f ca="1">IFERROR(__xludf.DUMMYFUNCTION("""COMPUTED_VALUE"""),31)</f>
        <v>31</v>
      </c>
      <c r="AI252" s="103">
        <f ca="1">IFERROR(__xludf.DUMMYFUNCTION("""COMPUTED_VALUE"""),820)</f>
        <v>820</v>
      </c>
      <c r="AJ252" s="103" t="str">
        <f ca="1">IFERROR(__xludf.DUMMYFUNCTION("""COMPUTED_VALUE"""),"MORS")</f>
        <v>MORS</v>
      </c>
      <c r="AK252" s="103">
        <f ca="1">IFERROR(__xludf.DUMMYFUNCTION("""COMPUTED_VALUE"""),20)</f>
        <v>20</v>
      </c>
      <c r="AL252" s="103"/>
      <c r="AM252" s="103"/>
      <c r="AN252" s="103"/>
      <c r="AO252" s="57" t="str">
        <f ca="1">IFERROR(__xludf.DUMMYFUNCTION("""COMPUTED_VALUE"""),"1B")</f>
        <v>1B</v>
      </c>
      <c r="AP252" s="103">
        <f ca="1">IFERROR(__xludf.DUMMYFUNCTION("""COMPUTED_VALUE"""),3)</f>
        <v>3</v>
      </c>
    </row>
    <row r="253" spans="1:42">
      <c r="A253" s="103">
        <f ca="1">IFERROR(__xludf.DUMMYFUNCTION("""COMPUTED_VALUE"""),2)</f>
        <v>2</v>
      </c>
      <c r="B253" s="103" t="str">
        <f ca="1">IFERROR(__xludf.DUMMYFUNCTION("""COMPUTED_VALUE"""),"JHT")</f>
        <v>JHT</v>
      </c>
      <c r="C253" s="103" t="str">
        <f ca="1">IFERROR(__xludf.DUMMYFUNCTION("""COMPUTED_VALUE"""),"R")</f>
        <v>R</v>
      </c>
      <c r="D253" s="103">
        <f ca="1">IFERROR(__xludf.DUMMYFUNCTION("""COMPUTED_VALUE"""),172176256)</f>
        <v>172176256</v>
      </c>
      <c r="E253" s="103" t="str">
        <f ca="1">IFERROR(__xludf.DUMMYFUNCTION("""COMPUTED_VALUE"""),"Song Sparrow")</f>
        <v>Song Sparrow</v>
      </c>
      <c r="F253" s="103" t="str">
        <f ca="1">IFERROR(__xludf.DUMMYFUNCTION("""COMPUTED_VALUE"""),"SOSP")</f>
        <v>SOSP</v>
      </c>
      <c r="G253" s="103">
        <f ca="1">IFERROR(__xludf.DUMMYFUNCTION("""COMPUTED_VALUE"""),2)</f>
        <v>2</v>
      </c>
      <c r="H253" s="103" t="str">
        <f ca="1">IFERROR(__xludf.DUMMYFUNCTION("""COMPUTED_VALUE"""),"S")</f>
        <v>S</v>
      </c>
      <c r="I253" s="103" t="str">
        <f ca="1">IFERROR(__xludf.DUMMYFUNCTION("""COMPUTED_VALUE"""),"J")</f>
        <v>J</v>
      </c>
      <c r="J253" s="103" t="str">
        <f ca="1">IFERROR(__xludf.DUMMYFUNCTION("""COMPUTED_VALUE"""),"FPF")</f>
        <v>FPF</v>
      </c>
      <c r="K253" s="103" t="str">
        <f ca="1">IFERROR(__xludf.DUMMYFUNCTION("""COMPUTED_VALUE"""),"U")</f>
        <v>U</v>
      </c>
      <c r="L253" s="103"/>
      <c r="M253" s="103"/>
      <c r="N253" s="103">
        <f ca="1">IFERROR(__xludf.DUMMYFUNCTION("""COMPUTED_VALUE"""),3)</f>
        <v>3</v>
      </c>
      <c r="O253" s="103">
        <f ca="1">IFERROR(__xludf.DUMMYFUNCTION("""COMPUTED_VALUE"""),0)</f>
        <v>0</v>
      </c>
      <c r="P253" s="103">
        <f ca="1">IFERROR(__xludf.DUMMYFUNCTION("""COMPUTED_VALUE"""),0)</f>
        <v>0</v>
      </c>
      <c r="Q253" s="103">
        <f ca="1">IFERROR(__xludf.DUMMYFUNCTION("""COMPUTED_VALUE"""),3)</f>
        <v>3</v>
      </c>
      <c r="R253" s="103">
        <f ca="1">IFERROR(__xludf.DUMMYFUNCTION("""COMPUTED_VALUE"""),1)</f>
        <v>1</v>
      </c>
      <c r="S253" s="103" t="str">
        <f ca="1">IFERROR(__xludf.DUMMYFUNCTION("""COMPUTED_VALUE"""),"N")</f>
        <v>N</v>
      </c>
      <c r="T253" s="103">
        <f ca="1">IFERROR(__xludf.DUMMYFUNCTION("""COMPUTED_VALUE"""),2)</f>
        <v>2</v>
      </c>
      <c r="U253" s="103">
        <f ca="1">IFERROR(__xludf.DUMMYFUNCTION("""COMPUTED_VALUE"""),3)</f>
        <v>3</v>
      </c>
      <c r="V253" s="103"/>
      <c r="W253" s="103"/>
      <c r="X253" s="103"/>
      <c r="Y253" s="103"/>
      <c r="Z253" s="103"/>
      <c r="AA253" s="103"/>
      <c r="AB253" s="103"/>
      <c r="AC253" s="103"/>
      <c r="AD253" s="103">
        <f ca="1">IFERROR(__xludf.DUMMYFUNCTION("""COMPUTED_VALUE"""),59)</f>
        <v>59</v>
      </c>
      <c r="AE253" s="103">
        <f ca="1">IFERROR(__xludf.DUMMYFUNCTION("""COMPUTED_VALUE"""),19.7)</f>
        <v>19.7</v>
      </c>
      <c r="AF253" s="103">
        <f ca="1">IFERROR(__xludf.DUMMYFUNCTION("""COMPUTED_VALUE"""),300)</f>
        <v>300</v>
      </c>
      <c r="AG253" s="103">
        <f ca="1">IFERROR(__xludf.DUMMYFUNCTION("""COMPUTED_VALUE"""),7)</f>
        <v>7</v>
      </c>
      <c r="AH253" s="103">
        <f ca="1">IFERROR(__xludf.DUMMYFUNCTION("""COMPUTED_VALUE"""),31)</f>
        <v>31</v>
      </c>
      <c r="AI253" s="103">
        <f ca="1">IFERROR(__xludf.DUMMYFUNCTION("""COMPUTED_VALUE"""),820)</f>
        <v>820</v>
      </c>
      <c r="AJ253" s="103" t="str">
        <f ca="1">IFERROR(__xludf.DUMMYFUNCTION("""COMPUTED_VALUE"""),"MORS")</f>
        <v>MORS</v>
      </c>
      <c r="AK253" s="103">
        <f ca="1">IFERROR(__xludf.DUMMYFUNCTION("""COMPUTED_VALUE"""),20)</f>
        <v>20</v>
      </c>
      <c r="AL253" s="103"/>
      <c r="AM253" s="103"/>
      <c r="AN253" s="103"/>
      <c r="AO253" s="57" t="str">
        <f ca="1">IFERROR(__xludf.DUMMYFUNCTION("""COMPUTED_VALUE"""),"R")</f>
        <v>R</v>
      </c>
      <c r="AP253" s="103">
        <f ca="1">IFERROR(__xludf.DUMMYFUNCTION("""COMPUTED_VALUE"""),3)</f>
        <v>3</v>
      </c>
    </row>
    <row r="254" spans="1:42">
      <c r="A254" s="103">
        <f ca="1">IFERROR(__xludf.DUMMYFUNCTION("""COMPUTED_VALUE"""),3)</f>
        <v>3</v>
      </c>
      <c r="B254" s="103" t="str">
        <f ca="1">IFERROR(__xludf.DUMMYFUNCTION("""COMPUTED_VALUE"""),"JHT")</f>
        <v>JHT</v>
      </c>
      <c r="C254" s="103" t="str">
        <f ca="1">IFERROR(__xludf.DUMMYFUNCTION("""COMPUTED_VALUE"""),"R")</f>
        <v>R</v>
      </c>
      <c r="D254" s="103">
        <f ca="1">IFERROR(__xludf.DUMMYFUNCTION("""COMPUTED_VALUE"""),172176253)</f>
        <v>172176253</v>
      </c>
      <c r="E254" s="103" t="str">
        <f ca="1">IFERROR(__xludf.DUMMYFUNCTION("""COMPUTED_VALUE"""),"Song Sparrow")</f>
        <v>Song Sparrow</v>
      </c>
      <c r="F254" s="103" t="str">
        <f ca="1">IFERROR(__xludf.DUMMYFUNCTION("""COMPUTED_VALUE"""),"SOSP")</f>
        <v>SOSP</v>
      </c>
      <c r="G254" s="103">
        <f ca="1">IFERROR(__xludf.DUMMYFUNCTION("""COMPUTED_VALUE"""),2)</f>
        <v>2</v>
      </c>
      <c r="H254" s="103" t="str">
        <f ca="1">IFERROR(__xludf.DUMMYFUNCTION("""COMPUTED_VALUE"""),"S")</f>
        <v>S</v>
      </c>
      <c r="I254" s="103" t="str">
        <f ca="1">IFERROR(__xludf.DUMMYFUNCTION("""COMPUTED_VALUE"""),"J")</f>
        <v>J</v>
      </c>
      <c r="J254" s="103" t="str">
        <f ca="1">IFERROR(__xludf.DUMMYFUNCTION("""COMPUTED_VALUE"""),"FPF")</f>
        <v>FPF</v>
      </c>
      <c r="K254" s="103" t="str">
        <f ca="1">IFERROR(__xludf.DUMMYFUNCTION("""COMPUTED_VALUE"""),"U")</f>
        <v>U</v>
      </c>
      <c r="L254" s="103"/>
      <c r="M254" s="103"/>
      <c r="N254" s="103">
        <f ca="1">IFERROR(__xludf.DUMMYFUNCTION("""COMPUTED_VALUE"""),3)</f>
        <v>3</v>
      </c>
      <c r="O254" s="103">
        <f ca="1">IFERROR(__xludf.DUMMYFUNCTION("""COMPUTED_VALUE"""),0)</f>
        <v>0</v>
      </c>
      <c r="P254" s="103">
        <f ca="1">IFERROR(__xludf.DUMMYFUNCTION("""COMPUTED_VALUE"""),0)</f>
        <v>0</v>
      </c>
      <c r="Q254" s="103">
        <f ca="1">IFERROR(__xludf.DUMMYFUNCTION("""COMPUTED_VALUE"""),2)</f>
        <v>2</v>
      </c>
      <c r="R254" s="103">
        <f ca="1">IFERROR(__xludf.DUMMYFUNCTION("""COMPUTED_VALUE"""),0)</f>
        <v>0</v>
      </c>
      <c r="S254" s="103" t="str">
        <f ca="1">IFERROR(__xludf.DUMMYFUNCTION("""COMPUTED_VALUE"""),"N")</f>
        <v>N</v>
      </c>
      <c r="T254" s="103">
        <f ca="1">IFERROR(__xludf.DUMMYFUNCTION("""COMPUTED_VALUE"""),1)</f>
        <v>1</v>
      </c>
      <c r="U254" s="103">
        <f ca="1">IFERROR(__xludf.DUMMYFUNCTION("""COMPUTED_VALUE"""),3)</f>
        <v>3</v>
      </c>
      <c r="V254" s="103"/>
      <c r="W254" s="103"/>
      <c r="X254" s="103"/>
      <c r="Y254" s="103"/>
      <c r="Z254" s="103"/>
      <c r="AA254" s="103"/>
      <c r="AB254" s="103"/>
      <c r="AC254" s="103"/>
      <c r="AD254" s="103">
        <f ca="1">IFERROR(__xludf.DUMMYFUNCTION("""COMPUTED_VALUE"""),64)</f>
        <v>64</v>
      </c>
      <c r="AE254" s="103">
        <f ca="1">IFERROR(__xludf.DUMMYFUNCTION("""COMPUTED_VALUE"""),22.5)</f>
        <v>22.5</v>
      </c>
      <c r="AF254" s="103">
        <f ca="1">IFERROR(__xludf.DUMMYFUNCTION("""COMPUTED_VALUE"""),300)</f>
        <v>300</v>
      </c>
      <c r="AG254" s="103">
        <f ca="1">IFERROR(__xludf.DUMMYFUNCTION("""COMPUTED_VALUE"""),7)</f>
        <v>7</v>
      </c>
      <c r="AH254" s="103">
        <f ca="1">IFERROR(__xludf.DUMMYFUNCTION("""COMPUTED_VALUE"""),31)</f>
        <v>31</v>
      </c>
      <c r="AI254" s="103">
        <f ca="1">IFERROR(__xludf.DUMMYFUNCTION("""COMPUTED_VALUE"""),820)</f>
        <v>820</v>
      </c>
      <c r="AJ254" s="103" t="str">
        <f ca="1">IFERROR(__xludf.DUMMYFUNCTION("""COMPUTED_VALUE"""),"MORS")</f>
        <v>MORS</v>
      </c>
      <c r="AK254" s="103">
        <f ca="1">IFERROR(__xludf.DUMMYFUNCTION("""COMPUTED_VALUE"""),20)</f>
        <v>20</v>
      </c>
      <c r="AL254" s="103"/>
      <c r="AM254" s="103">
        <f ca="1">IFERROR(__xludf.DUMMYFUNCTION("""COMPUTED_VALUE"""),1)</f>
        <v>1</v>
      </c>
      <c r="AN254" s="103" t="str">
        <f ca="1">IFERROR(__xludf.DUMMYFUNCTION("""COMPUTED_VALUE"""),"Possible male by forward-facing cloaca")</f>
        <v>Possible male by forward-facing cloaca</v>
      </c>
      <c r="AO254" s="57" t="str">
        <f ca="1">IFERROR(__xludf.DUMMYFUNCTION("""COMPUTED_VALUE"""),"R")</f>
        <v>R</v>
      </c>
      <c r="AP254" s="103">
        <f ca="1">IFERROR(__xludf.DUMMYFUNCTION("""COMPUTED_VALUE"""),3)</f>
        <v>3</v>
      </c>
    </row>
    <row r="255" spans="1:42">
      <c r="A255" s="103">
        <f ca="1">IFERROR(__xludf.DUMMYFUNCTION("""COMPUTED_VALUE"""),4)</f>
        <v>4</v>
      </c>
      <c r="B255" s="103" t="str">
        <f ca="1">IFERROR(__xludf.DUMMYFUNCTION("""COMPUTED_VALUE"""),"JHT")</f>
        <v>JHT</v>
      </c>
      <c r="C255" s="103" t="str">
        <f ca="1">IFERROR(__xludf.DUMMYFUNCTION("""COMPUTED_VALUE"""),"N")</f>
        <v>N</v>
      </c>
      <c r="D255" s="103">
        <f ca="1">IFERROR(__xludf.DUMMYFUNCTION("""COMPUTED_VALUE"""),172176271)</f>
        <v>172176271</v>
      </c>
      <c r="E255" s="103" t="str">
        <f ca="1">IFERROR(__xludf.DUMMYFUNCTION("""COMPUTED_VALUE"""),"Purple Finch")</f>
        <v>Purple Finch</v>
      </c>
      <c r="F255" s="103" t="str">
        <f ca="1">IFERROR(__xludf.DUMMYFUNCTION("""COMPUTED_VALUE"""),"PUFI")</f>
        <v>PUFI</v>
      </c>
      <c r="G255" s="103">
        <f ca="1">IFERROR(__xludf.DUMMYFUNCTION("""COMPUTED_VALUE"""),1)</f>
        <v>1</v>
      </c>
      <c r="H255" s="103" t="str">
        <f ca="1">IFERROR(__xludf.DUMMYFUNCTION("""COMPUTED_VALUE"""),"S")</f>
        <v>S</v>
      </c>
      <c r="I255" s="103" t="str">
        <f ca="1">IFERROR(__xludf.DUMMYFUNCTION("""COMPUTED_VALUE"""),"P")</f>
        <v>P</v>
      </c>
      <c r="J255" s="103" t="str">
        <f ca="1">IFERROR(__xludf.DUMMYFUNCTION("""COMPUTED_VALUE"""),"DPB")</f>
        <v>DPB</v>
      </c>
      <c r="K255" s="103" t="str">
        <f ca="1">IFERROR(__xludf.DUMMYFUNCTION("""COMPUTED_VALUE"""),"M")</f>
        <v>M</v>
      </c>
      <c r="L255" s="103" t="str">
        <f ca="1">IFERROR(__xludf.DUMMYFUNCTION("""COMPUTED_VALUE"""),"P")</f>
        <v>P</v>
      </c>
      <c r="M255" s="103" t="str">
        <f ca="1">IFERROR(__xludf.DUMMYFUNCTION("""COMPUTED_VALUE"""),"C")</f>
        <v>C</v>
      </c>
      <c r="N255" s="103">
        <f ca="1">IFERROR(__xludf.DUMMYFUNCTION("""COMPUTED_VALUE"""),6)</f>
        <v>6</v>
      </c>
      <c r="O255" s="103">
        <f ca="1">IFERROR(__xludf.DUMMYFUNCTION("""COMPUTED_VALUE"""),2)</f>
        <v>2</v>
      </c>
      <c r="P255" s="103">
        <f ca="1">IFERROR(__xludf.DUMMYFUNCTION("""COMPUTED_VALUE"""),0)</f>
        <v>0</v>
      </c>
      <c r="Q255" s="103">
        <f ca="1">IFERROR(__xludf.DUMMYFUNCTION("""COMPUTED_VALUE"""),1)</f>
        <v>1</v>
      </c>
      <c r="R255" s="103">
        <f ca="1">IFERROR(__xludf.DUMMYFUNCTION("""COMPUTED_VALUE"""),0)</f>
        <v>0</v>
      </c>
      <c r="S255" s="103" t="str">
        <f ca="1">IFERROR(__xludf.DUMMYFUNCTION("""COMPUTED_VALUE"""),"S")</f>
        <v>S</v>
      </c>
      <c r="T255" s="103">
        <f ca="1">IFERROR(__xludf.DUMMYFUNCTION("""COMPUTED_VALUE"""),3)</f>
        <v>3</v>
      </c>
      <c r="U255" s="103"/>
      <c r="V255" s="103"/>
      <c r="W255" s="103"/>
      <c r="X255" s="103"/>
      <c r="Y255" s="103"/>
      <c r="Z255" s="103"/>
      <c r="AA255" s="103"/>
      <c r="AB255" s="103"/>
      <c r="AC255" s="103"/>
      <c r="AD255" s="103">
        <f ca="1">IFERROR(__xludf.DUMMYFUNCTION("""COMPUTED_VALUE"""),81)</f>
        <v>81</v>
      </c>
      <c r="AE255" s="103">
        <f ca="1">IFERROR(__xludf.DUMMYFUNCTION("""COMPUTED_VALUE"""),26)</f>
        <v>26</v>
      </c>
      <c r="AF255" s="103">
        <f ca="1">IFERROR(__xludf.DUMMYFUNCTION("""COMPUTED_VALUE"""),300)</f>
        <v>300</v>
      </c>
      <c r="AG255" s="103">
        <f ca="1">IFERROR(__xludf.DUMMYFUNCTION("""COMPUTED_VALUE"""),7)</f>
        <v>7</v>
      </c>
      <c r="AH255" s="103">
        <f ca="1">IFERROR(__xludf.DUMMYFUNCTION("""COMPUTED_VALUE"""),31)</f>
        <v>31</v>
      </c>
      <c r="AI255" s="103">
        <f ca="1">IFERROR(__xludf.DUMMYFUNCTION("""COMPUTED_VALUE"""),920)</f>
        <v>920</v>
      </c>
      <c r="AJ255" s="103" t="str">
        <f ca="1">IFERROR(__xludf.DUMMYFUNCTION("""COMPUTED_VALUE"""),"MORS")</f>
        <v>MORS</v>
      </c>
      <c r="AK255" s="103">
        <f ca="1">IFERROR(__xludf.DUMMYFUNCTION("""COMPUTED_VALUE"""),6)</f>
        <v>6</v>
      </c>
      <c r="AL255" s="103"/>
      <c r="AM255" s="103">
        <f ca="1">IFERROR(__xludf.DUMMYFUNCTION("""COMPUTED_VALUE"""),2)</f>
        <v>2</v>
      </c>
      <c r="AN255" s="103" t="str">
        <f ca="1">IFERROR(__xludf.DUMMYFUNCTION("""COMPUTED_VALUE"""),"P4 24%, P3 50%")</f>
        <v>P4 24%, P3 50%</v>
      </c>
      <c r="AO255" s="57" t="str">
        <f ca="1">IFERROR(__xludf.DUMMYFUNCTION("""COMPUTED_VALUE"""),"1B")</f>
        <v>1B</v>
      </c>
      <c r="AP255" s="103">
        <f ca="1">IFERROR(__xludf.DUMMYFUNCTION("""COMPUTED_VALUE"""),3)</f>
        <v>3</v>
      </c>
    </row>
    <row r="256" spans="1:42">
      <c r="A256" s="103">
        <f ca="1">IFERROR(__xludf.DUMMYFUNCTION("""COMPUTED_VALUE"""),5)</f>
        <v>5</v>
      </c>
      <c r="B256" s="103" t="str">
        <f ca="1">IFERROR(__xludf.DUMMYFUNCTION("""COMPUTED_VALUE"""),"JHT")</f>
        <v>JHT</v>
      </c>
      <c r="C256" s="103" t="str">
        <f ca="1">IFERROR(__xludf.DUMMYFUNCTION("""COMPUTED_VALUE"""),"N")</f>
        <v>N</v>
      </c>
      <c r="D256" s="103">
        <f ca="1">IFERROR(__xludf.DUMMYFUNCTION("""COMPUTED_VALUE"""),288029980)</f>
        <v>288029980</v>
      </c>
      <c r="E256" s="103" t="str">
        <f ca="1">IFERROR(__xludf.DUMMYFUNCTION("""COMPUTED_VALUE"""),"Black-capped Chickadee")</f>
        <v>Black-capped Chickadee</v>
      </c>
      <c r="F256" s="103" t="str">
        <f ca="1">IFERROR(__xludf.DUMMYFUNCTION("""COMPUTED_VALUE"""),"BCCH")</f>
        <v>BCCH</v>
      </c>
      <c r="G256" s="103">
        <f ca="1">IFERROR(__xludf.DUMMYFUNCTION("""COMPUTED_VALUE"""),2)</f>
        <v>2</v>
      </c>
      <c r="H256" s="103" t="str">
        <f ca="1">IFERROR(__xludf.DUMMYFUNCTION("""COMPUTED_VALUE"""),"S")</f>
        <v>S</v>
      </c>
      <c r="I256" s="103"/>
      <c r="J256" s="103" t="str">
        <f ca="1">IFERROR(__xludf.DUMMYFUNCTION("""COMPUTED_VALUE"""),"FCJ")</f>
        <v>FCJ</v>
      </c>
      <c r="K256" s="103" t="str">
        <f ca="1">IFERROR(__xludf.DUMMYFUNCTION("""COMPUTED_VALUE"""),"U")</f>
        <v>U</v>
      </c>
      <c r="L256" s="103"/>
      <c r="M256" s="103"/>
      <c r="N256" s="103">
        <f ca="1">IFERROR(__xludf.DUMMYFUNCTION("""COMPUTED_VALUE"""),4)</f>
        <v>4</v>
      </c>
      <c r="O256" s="103">
        <f ca="1">IFERROR(__xludf.DUMMYFUNCTION("""COMPUTED_VALUE"""),0)</f>
        <v>0</v>
      </c>
      <c r="P256" s="103">
        <f ca="1">IFERROR(__xludf.DUMMYFUNCTION("""COMPUTED_VALUE"""),0)</f>
        <v>0</v>
      </c>
      <c r="Q256" s="103">
        <f ca="1">IFERROR(__xludf.DUMMYFUNCTION("""COMPUTED_VALUE"""),1)</f>
        <v>1</v>
      </c>
      <c r="R256" s="103">
        <f ca="1">IFERROR(__xludf.DUMMYFUNCTION("""COMPUTED_VALUE"""),0)</f>
        <v>0</v>
      </c>
      <c r="S256" s="103" t="str">
        <f ca="1">IFERROR(__xludf.DUMMYFUNCTION("""COMPUTED_VALUE"""),"N")</f>
        <v>N</v>
      </c>
      <c r="T256" s="103">
        <f ca="1">IFERROR(__xludf.DUMMYFUNCTION("""COMPUTED_VALUE"""),1)</f>
        <v>1</v>
      </c>
      <c r="U256" s="103">
        <f ca="1">IFERROR(__xludf.DUMMYFUNCTION("""COMPUTED_VALUE"""),3)</f>
        <v>3</v>
      </c>
      <c r="V256" s="103"/>
      <c r="W256" s="103"/>
      <c r="X256" s="103"/>
      <c r="Y256" s="103"/>
      <c r="Z256" s="103"/>
      <c r="AA256" s="103"/>
      <c r="AB256" s="103"/>
      <c r="AC256" s="103"/>
      <c r="AD256" s="103">
        <f ca="1">IFERROR(__xludf.DUMMYFUNCTION("""COMPUTED_VALUE"""),63)</f>
        <v>63</v>
      </c>
      <c r="AE256" s="103">
        <f ca="1">IFERROR(__xludf.DUMMYFUNCTION("""COMPUTED_VALUE"""),10.7)</f>
        <v>10.7</v>
      </c>
      <c r="AF256" s="103">
        <f ca="1">IFERROR(__xludf.DUMMYFUNCTION("""COMPUTED_VALUE"""),300)</f>
        <v>300</v>
      </c>
      <c r="AG256" s="103">
        <f ca="1">IFERROR(__xludf.DUMMYFUNCTION("""COMPUTED_VALUE"""),7)</f>
        <v>7</v>
      </c>
      <c r="AH256" s="103">
        <f ca="1">IFERROR(__xludf.DUMMYFUNCTION("""COMPUTED_VALUE"""),31)</f>
        <v>31</v>
      </c>
      <c r="AI256" s="103">
        <f ca="1">IFERROR(__xludf.DUMMYFUNCTION("""COMPUTED_VALUE"""),950)</f>
        <v>950</v>
      </c>
      <c r="AJ256" s="103" t="str">
        <f ca="1">IFERROR(__xludf.DUMMYFUNCTION("""COMPUTED_VALUE"""),"MORS")</f>
        <v>MORS</v>
      </c>
      <c r="AK256" s="103">
        <f ca="1">IFERROR(__xludf.DUMMYFUNCTION("""COMPUTED_VALUE"""),10)</f>
        <v>10</v>
      </c>
      <c r="AL256" s="103"/>
      <c r="AM256" s="103"/>
      <c r="AN256" s="103"/>
      <c r="AO256" s="57">
        <f ca="1">IFERROR(__xludf.DUMMYFUNCTION("""COMPUTED_VALUE"""),0)</f>
        <v>0</v>
      </c>
      <c r="AP256" s="103">
        <f ca="1">IFERROR(__xludf.DUMMYFUNCTION("""COMPUTED_VALUE"""),3)</f>
        <v>3</v>
      </c>
    </row>
    <row r="257" spans="1:42">
      <c r="A257" s="103">
        <f ca="1">IFERROR(__xludf.DUMMYFUNCTION("""COMPUTED_VALUE"""),6)</f>
        <v>6</v>
      </c>
      <c r="B257" s="103" t="str">
        <f ca="1">IFERROR(__xludf.DUMMYFUNCTION("""COMPUTED_VALUE"""),"JHT")</f>
        <v>JHT</v>
      </c>
      <c r="C257" s="103" t="str">
        <f ca="1">IFERROR(__xludf.DUMMYFUNCTION("""COMPUTED_VALUE"""),"R")</f>
        <v>R</v>
      </c>
      <c r="D257" s="103">
        <f ca="1">IFERROR(__xludf.DUMMYFUNCTION("""COMPUTED_VALUE"""),291032203)</f>
        <v>291032203</v>
      </c>
      <c r="E257" s="103" t="str">
        <f ca="1">IFERROR(__xludf.DUMMYFUNCTION("""COMPUTED_VALUE"""),"Black-capped Chickadee")</f>
        <v>Black-capped Chickadee</v>
      </c>
      <c r="F257" s="103" t="str">
        <f ca="1">IFERROR(__xludf.DUMMYFUNCTION("""COMPUTED_VALUE"""),"BCCH")</f>
        <v>BCCH</v>
      </c>
      <c r="G257" s="103">
        <f ca="1">IFERROR(__xludf.DUMMYFUNCTION("""COMPUTED_VALUE"""),1)</f>
        <v>1</v>
      </c>
      <c r="H257" s="103" t="str">
        <f ca="1">IFERROR(__xludf.DUMMYFUNCTION("""COMPUTED_VALUE"""),"S")</f>
        <v>S</v>
      </c>
      <c r="I257" s="103" t="str">
        <f ca="1">IFERROR(__xludf.DUMMYFUNCTION("""COMPUTED_VALUE"""),"P")</f>
        <v>P</v>
      </c>
      <c r="J257" s="103" t="str">
        <f ca="1">IFERROR(__xludf.DUMMYFUNCTION("""COMPUTED_VALUE"""),"DPB")</f>
        <v>DPB</v>
      </c>
      <c r="K257" s="103" t="str">
        <f ca="1">IFERROR(__xludf.DUMMYFUNCTION("""COMPUTED_VALUE"""),"U")</f>
        <v>U</v>
      </c>
      <c r="L257" s="103"/>
      <c r="M257" s="103"/>
      <c r="N257" s="103">
        <f ca="1">IFERROR(__xludf.DUMMYFUNCTION("""COMPUTED_VALUE"""),6)</f>
        <v>6</v>
      </c>
      <c r="O257" s="103">
        <f ca="1">IFERROR(__xludf.DUMMYFUNCTION("""COMPUTED_VALUE"""),0)</f>
        <v>0</v>
      </c>
      <c r="P257" s="103">
        <f ca="1">IFERROR(__xludf.DUMMYFUNCTION("""COMPUTED_VALUE"""),0)</f>
        <v>0</v>
      </c>
      <c r="Q257" s="103">
        <f ca="1">IFERROR(__xludf.DUMMYFUNCTION("""COMPUTED_VALUE"""),3)</f>
        <v>3</v>
      </c>
      <c r="R257" s="103">
        <f ca="1">IFERROR(__xludf.DUMMYFUNCTION("""COMPUTED_VALUE"""),4)</f>
        <v>4</v>
      </c>
      <c r="S257" s="103" t="str">
        <f ca="1">IFERROR(__xludf.DUMMYFUNCTION("""COMPUTED_VALUE"""),"S")</f>
        <v>S</v>
      </c>
      <c r="T257" s="103">
        <f ca="1">IFERROR(__xludf.DUMMYFUNCTION("""COMPUTED_VALUE"""),1)</f>
        <v>1</v>
      </c>
      <c r="U257" s="103"/>
      <c r="V257" s="103"/>
      <c r="W257" s="103"/>
      <c r="X257" s="103"/>
      <c r="Y257" s="103"/>
      <c r="Z257" s="103"/>
      <c r="AA257" s="103"/>
      <c r="AB257" s="103"/>
      <c r="AC257" s="103"/>
      <c r="AD257" s="103">
        <f ca="1">IFERROR(__xludf.DUMMYFUNCTION("""COMPUTED_VALUE"""),59)</f>
        <v>59</v>
      </c>
      <c r="AE257" s="103">
        <f ca="1">IFERROR(__xludf.DUMMYFUNCTION("""COMPUTED_VALUE"""),11.5)</f>
        <v>11.5</v>
      </c>
      <c r="AF257" s="103">
        <f ca="1">IFERROR(__xludf.DUMMYFUNCTION("""COMPUTED_VALUE"""),300)</f>
        <v>300</v>
      </c>
      <c r="AG257" s="103">
        <f ca="1">IFERROR(__xludf.DUMMYFUNCTION("""COMPUTED_VALUE"""),7)</f>
        <v>7</v>
      </c>
      <c r="AH257" s="103">
        <f ca="1">IFERROR(__xludf.DUMMYFUNCTION("""COMPUTED_VALUE"""),31)</f>
        <v>31</v>
      </c>
      <c r="AI257" s="103">
        <f ca="1">IFERROR(__xludf.DUMMYFUNCTION("""COMPUTED_VALUE"""),950)</f>
        <v>950</v>
      </c>
      <c r="AJ257" s="103" t="str">
        <f ca="1">IFERROR(__xludf.DUMMYFUNCTION("""COMPUTED_VALUE"""),"MORS")</f>
        <v>MORS</v>
      </c>
      <c r="AK257" s="103">
        <f ca="1">IFERROR(__xludf.DUMMYFUNCTION("""COMPUTED_VALUE"""),14)</f>
        <v>14</v>
      </c>
      <c r="AL257" s="103"/>
      <c r="AM257" s="103">
        <f ca="1">IFERROR(__xludf.DUMMYFUNCTION("""COMPUTED_VALUE"""),3)</f>
        <v>3</v>
      </c>
      <c r="AN257" s="103" t="str">
        <f ca="1">IFERROR(__xludf.DUMMYFUNCTION("""COMPUTED_VALUE"""),"P7 20%, P6 95%, R6 10%, R5 95%")</f>
        <v>P7 20%, P6 95%, R6 10%, R5 95%</v>
      </c>
      <c r="AO257" s="57" t="str">
        <f ca="1">IFERROR(__xludf.DUMMYFUNCTION("""COMPUTED_VALUE"""),"R")</f>
        <v>R</v>
      </c>
      <c r="AP257" s="103">
        <f ca="1">IFERROR(__xludf.DUMMYFUNCTION("""COMPUTED_VALUE"""),3)</f>
        <v>3</v>
      </c>
    </row>
    <row r="258" spans="1:42">
      <c r="A258" s="103">
        <f ca="1">IFERROR(__xludf.DUMMYFUNCTION("""COMPUTED_VALUE"""),7)</f>
        <v>7</v>
      </c>
      <c r="B258" s="103" t="str">
        <f ca="1">IFERROR(__xludf.DUMMYFUNCTION("""COMPUTED_VALUE"""),"JHT")</f>
        <v>JHT</v>
      </c>
      <c r="C258" s="103" t="str">
        <f ca="1">IFERROR(__xludf.DUMMYFUNCTION("""COMPUTED_VALUE"""),"R")</f>
        <v>R</v>
      </c>
      <c r="D258" s="103">
        <f ca="1">IFERROR(__xludf.DUMMYFUNCTION("""COMPUTED_VALUE"""),172176259)</f>
        <v>172176259</v>
      </c>
      <c r="E258" s="103" t="str">
        <f ca="1">IFERROR(__xludf.DUMMYFUNCTION("""COMPUTED_VALUE"""),"Song Sparrow")</f>
        <v>Song Sparrow</v>
      </c>
      <c r="F258" s="103" t="str">
        <f ca="1">IFERROR(__xludf.DUMMYFUNCTION("""COMPUTED_VALUE"""),"SOSP")</f>
        <v>SOSP</v>
      </c>
      <c r="G258" s="103">
        <f ca="1">IFERROR(__xludf.DUMMYFUNCTION("""COMPUTED_VALUE"""),2)</f>
        <v>2</v>
      </c>
      <c r="H258" s="103" t="str">
        <f ca="1">IFERROR(__xludf.DUMMYFUNCTION("""COMPUTED_VALUE"""),"S")</f>
        <v>S</v>
      </c>
      <c r="I258" s="103" t="str">
        <f ca="1">IFERROR(__xludf.DUMMYFUNCTION("""COMPUTED_VALUE"""),"J")</f>
        <v>J</v>
      </c>
      <c r="J258" s="103" t="str">
        <f ca="1">IFERROR(__xludf.DUMMYFUNCTION("""COMPUTED_VALUE"""),"FCF")</f>
        <v>FCF</v>
      </c>
      <c r="K258" s="103" t="str">
        <f ca="1">IFERROR(__xludf.DUMMYFUNCTION("""COMPUTED_VALUE"""),"U")</f>
        <v>U</v>
      </c>
      <c r="L258" s="103"/>
      <c r="M258" s="103"/>
      <c r="N258" s="103">
        <f ca="1">IFERROR(__xludf.DUMMYFUNCTION("""COMPUTED_VALUE"""),3)</f>
        <v>3</v>
      </c>
      <c r="O258" s="103">
        <f ca="1">IFERROR(__xludf.DUMMYFUNCTION("""COMPUTED_VALUE"""),0)</f>
        <v>0</v>
      </c>
      <c r="P258" s="103">
        <f ca="1">IFERROR(__xludf.DUMMYFUNCTION("""COMPUTED_VALUE"""),0)</f>
        <v>0</v>
      </c>
      <c r="Q258" s="103">
        <f ca="1">IFERROR(__xludf.DUMMYFUNCTION("""COMPUTED_VALUE"""),2)</f>
        <v>2</v>
      </c>
      <c r="R258" s="103">
        <f ca="1">IFERROR(__xludf.DUMMYFUNCTION("""COMPUTED_VALUE"""),3)</f>
        <v>3</v>
      </c>
      <c r="S258" s="103" t="str">
        <f ca="1">IFERROR(__xludf.DUMMYFUNCTION("""COMPUTED_VALUE"""),"N")</f>
        <v>N</v>
      </c>
      <c r="T258" s="103">
        <f ca="1">IFERROR(__xludf.DUMMYFUNCTION("""COMPUTED_VALUE"""),2)</f>
        <v>2</v>
      </c>
      <c r="U258" s="103">
        <f ca="1">IFERROR(__xludf.DUMMYFUNCTION("""COMPUTED_VALUE"""),2)</f>
        <v>2</v>
      </c>
      <c r="V258" s="103"/>
      <c r="W258" s="103"/>
      <c r="X258" s="103"/>
      <c r="Y258" s="103"/>
      <c r="Z258" s="103"/>
      <c r="AA258" s="103"/>
      <c r="AB258" s="103"/>
      <c r="AC258" s="103"/>
      <c r="AD258" s="103">
        <f ca="1">IFERROR(__xludf.DUMMYFUNCTION("""COMPUTED_VALUE"""),64)</f>
        <v>64</v>
      </c>
      <c r="AE258" s="103">
        <f ca="1">IFERROR(__xludf.DUMMYFUNCTION("""COMPUTED_VALUE"""),21.7)</f>
        <v>21.7</v>
      </c>
      <c r="AF258" s="103">
        <f ca="1">IFERROR(__xludf.DUMMYFUNCTION("""COMPUTED_VALUE"""),300)</f>
        <v>300</v>
      </c>
      <c r="AG258" s="103">
        <f ca="1">IFERROR(__xludf.DUMMYFUNCTION("""COMPUTED_VALUE"""),7)</f>
        <v>7</v>
      </c>
      <c r="AH258" s="103">
        <f ca="1">IFERROR(__xludf.DUMMYFUNCTION("""COMPUTED_VALUE"""),31)</f>
        <v>31</v>
      </c>
      <c r="AI258" s="103">
        <f ca="1">IFERROR(__xludf.DUMMYFUNCTION("""COMPUTED_VALUE"""),1150)</f>
        <v>1150</v>
      </c>
      <c r="AJ258" s="103" t="str">
        <f ca="1">IFERROR(__xludf.DUMMYFUNCTION("""COMPUTED_VALUE"""),"MORS")</f>
        <v>MORS</v>
      </c>
      <c r="AK258" s="103">
        <f ca="1">IFERROR(__xludf.DUMMYFUNCTION("""COMPUTED_VALUE"""),8)</f>
        <v>8</v>
      </c>
      <c r="AL258" s="103"/>
      <c r="AM258" s="103"/>
      <c r="AN258" s="103"/>
      <c r="AO258" s="57" t="str">
        <f ca="1">IFERROR(__xludf.DUMMYFUNCTION("""COMPUTED_VALUE"""),"R")</f>
        <v>R</v>
      </c>
      <c r="AP258" s="103">
        <f ca="1">IFERROR(__xludf.DUMMYFUNCTION("""COMPUTED_VALUE"""),3)</f>
        <v>3</v>
      </c>
    </row>
    <row r="259" spans="1:42">
      <c r="A259" s="103">
        <f ca="1">IFERROR(__xludf.DUMMYFUNCTION("""COMPUTED_VALUE"""),1)</f>
        <v>1</v>
      </c>
      <c r="B259" s="103" t="str">
        <f ca="1">IFERROR(__xludf.DUMMYFUNCTION("""COMPUTED_VALUE"""),"ACC")</f>
        <v>ACC</v>
      </c>
      <c r="C259" s="103" t="str">
        <f ca="1">IFERROR(__xludf.DUMMYFUNCTION("""COMPUTED_VALUE"""),"R")</f>
        <v>R</v>
      </c>
      <c r="D259" s="103">
        <f ca="1">IFERROR(__xludf.DUMMYFUNCTION("""COMPUTED_VALUE"""),135291879)</f>
        <v>135291879</v>
      </c>
      <c r="E259" s="103" t="str">
        <f ca="1">IFERROR(__xludf.DUMMYFUNCTION("""COMPUTED_VALUE"""),"Spotted Towhee")</f>
        <v>Spotted Towhee</v>
      </c>
      <c r="F259" s="103" t="str">
        <f ca="1">IFERROR(__xludf.DUMMYFUNCTION("""COMPUTED_VALUE"""),"SPTO")</f>
        <v>SPTO</v>
      </c>
      <c r="G259" s="103">
        <f ca="1">IFERROR(__xludf.DUMMYFUNCTION("""COMPUTED_VALUE"""),2)</f>
        <v>2</v>
      </c>
      <c r="H259" s="103" t="str">
        <f ca="1">IFERROR(__xludf.DUMMYFUNCTION("""COMPUTED_VALUE"""),"J")</f>
        <v>J</v>
      </c>
      <c r="I259" s="103"/>
      <c r="J259" s="103" t="str">
        <f ca="1">IFERROR(__xludf.DUMMYFUNCTION("""COMPUTED_VALUE"""),"FPJ")</f>
        <v>FPJ</v>
      </c>
      <c r="K259" s="103" t="str">
        <f ca="1">IFERROR(__xludf.DUMMYFUNCTION("""COMPUTED_VALUE"""),"U")</f>
        <v>U</v>
      </c>
      <c r="L259" s="103"/>
      <c r="M259" s="103"/>
      <c r="N259" s="103"/>
      <c r="O259" s="103">
        <f ca="1">IFERROR(__xludf.DUMMYFUNCTION("""COMPUTED_VALUE"""),0)</f>
        <v>0</v>
      </c>
      <c r="P259" s="103">
        <f ca="1">IFERROR(__xludf.DUMMYFUNCTION("""COMPUTED_VALUE"""),0)</f>
        <v>0</v>
      </c>
      <c r="Q259" s="103">
        <f ca="1">IFERROR(__xludf.DUMMYFUNCTION("""COMPUTED_VALUE"""),1)</f>
        <v>1</v>
      </c>
      <c r="R259" s="103">
        <f ca="1">IFERROR(__xludf.DUMMYFUNCTION("""COMPUTED_VALUE"""),3)</f>
        <v>3</v>
      </c>
      <c r="S259" s="103" t="str">
        <f ca="1">IFERROR(__xludf.DUMMYFUNCTION("""COMPUTED_VALUE"""),"J")</f>
        <v>J</v>
      </c>
      <c r="T259" s="103">
        <f ca="1">IFERROR(__xludf.DUMMYFUNCTION("""COMPUTED_VALUE"""),1)</f>
        <v>1</v>
      </c>
      <c r="U259" s="103"/>
      <c r="V259" s="103"/>
      <c r="W259" s="103"/>
      <c r="X259" s="103"/>
      <c r="Y259" s="103"/>
      <c r="Z259" s="103"/>
      <c r="AA259" s="103"/>
      <c r="AB259" s="103"/>
      <c r="AC259" s="103"/>
      <c r="AD259" s="103">
        <f ca="1">IFERROR(__xludf.DUMMYFUNCTION("""COMPUTED_VALUE"""),83)</f>
        <v>83</v>
      </c>
      <c r="AE259" s="103">
        <f ca="1">IFERROR(__xludf.DUMMYFUNCTION("""COMPUTED_VALUE"""),39)</f>
        <v>39</v>
      </c>
      <c r="AF259" s="103">
        <f ca="1">IFERROR(__xludf.DUMMYFUNCTION("""COMPUTED_VALUE"""),300)</f>
        <v>300</v>
      </c>
      <c r="AG259" s="103">
        <f ca="1">IFERROR(__xludf.DUMMYFUNCTION("""COMPUTED_VALUE"""),7)</f>
        <v>7</v>
      </c>
      <c r="AH259" s="103">
        <f ca="1">IFERROR(__xludf.DUMMYFUNCTION("""COMPUTED_VALUE"""),31)</f>
        <v>31</v>
      </c>
      <c r="AI259" s="103">
        <f ca="1">IFERROR(__xludf.DUMMYFUNCTION("""COMPUTED_VALUE"""),720)</f>
        <v>720</v>
      </c>
      <c r="AJ259" s="103" t="str">
        <f ca="1">IFERROR(__xludf.DUMMYFUNCTION("""COMPUTED_VALUE"""),"MORS")</f>
        <v>MORS</v>
      </c>
      <c r="AK259" s="103">
        <f ca="1">IFERROR(__xludf.DUMMYFUNCTION("""COMPUTED_VALUE"""),15)</f>
        <v>15</v>
      </c>
      <c r="AL259" s="103"/>
      <c r="AM259" s="103"/>
      <c r="AN259" s="103"/>
      <c r="AO259" s="57" t="str">
        <f ca="1">IFERROR(__xludf.DUMMYFUNCTION("""COMPUTED_VALUE"""),"R")</f>
        <v>R</v>
      </c>
      <c r="AP259" s="103">
        <f ca="1">IFERROR(__xludf.DUMMYFUNCTION("""COMPUTED_VALUE"""),4)</f>
        <v>4</v>
      </c>
    </row>
    <row r="260" spans="1:42">
      <c r="A260" s="103">
        <f ca="1">IFERROR(__xludf.DUMMYFUNCTION("""COMPUTED_VALUE"""),2)</f>
        <v>2</v>
      </c>
      <c r="B260" s="103" t="str">
        <f ca="1">IFERROR(__xludf.DUMMYFUNCTION("""COMPUTED_VALUE"""),"LAC")</f>
        <v>LAC</v>
      </c>
      <c r="C260" s="103" t="str">
        <f ca="1">IFERROR(__xludf.DUMMYFUNCTION("""COMPUTED_VALUE"""),"N")</f>
        <v>N</v>
      </c>
      <c r="D260" s="103">
        <f ca="1">IFERROR(__xludf.DUMMYFUNCTION("""COMPUTED_VALUE"""),288029978)</f>
        <v>288029978</v>
      </c>
      <c r="E260" s="103" t="str">
        <f ca="1">IFERROR(__xludf.DUMMYFUNCTION("""COMPUTED_VALUE"""),"Black-capped Chickadee")</f>
        <v>Black-capped Chickadee</v>
      </c>
      <c r="F260" s="103" t="str">
        <f ca="1">IFERROR(__xludf.DUMMYFUNCTION("""COMPUTED_VALUE"""),"BCCH")</f>
        <v>BCCH</v>
      </c>
      <c r="G260" s="103">
        <f ca="1">IFERROR(__xludf.DUMMYFUNCTION("""COMPUTED_VALUE"""),2)</f>
        <v>2</v>
      </c>
      <c r="H260" s="103" t="str">
        <f ca="1">IFERROR(__xludf.DUMMYFUNCTION("""COMPUTED_VALUE"""),"J")</f>
        <v>J</v>
      </c>
      <c r="I260" s="103" t="str">
        <f ca="1">IFERROR(__xludf.DUMMYFUNCTION("""COMPUTED_VALUE"""),"S")</f>
        <v>S</v>
      </c>
      <c r="J260" s="103" t="str">
        <f ca="1">IFERROR(__xludf.DUMMYFUNCTION("""COMPUTED_VALUE"""),"FPF")</f>
        <v>FPF</v>
      </c>
      <c r="K260" s="103" t="str">
        <f ca="1">IFERROR(__xludf.DUMMYFUNCTION("""COMPUTED_VALUE"""),"U")</f>
        <v>U</v>
      </c>
      <c r="L260" s="103"/>
      <c r="M260" s="103"/>
      <c r="N260" s="103">
        <f ca="1">IFERROR(__xludf.DUMMYFUNCTION("""COMPUTED_VALUE"""),4)</f>
        <v>4</v>
      </c>
      <c r="O260" s="103">
        <f ca="1">IFERROR(__xludf.DUMMYFUNCTION("""COMPUTED_VALUE"""),0)</f>
        <v>0</v>
      </c>
      <c r="P260" s="103">
        <f ca="1">IFERROR(__xludf.DUMMYFUNCTION("""COMPUTED_VALUE"""),0)</f>
        <v>0</v>
      </c>
      <c r="Q260" s="103">
        <f ca="1">IFERROR(__xludf.DUMMYFUNCTION("""COMPUTED_VALUE"""),2)</f>
        <v>2</v>
      </c>
      <c r="R260" s="103">
        <f ca="1">IFERROR(__xludf.DUMMYFUNCTION("""COMPUTED_VALUE"""),2)</f>
        <v>2</v>
      </c>
      <c r="S260" s="103" t="str">
        <f ca="1">IFERROR(__xludf.DUMMYFUNCTION("""COMPUTED_VALUE"""),"N")</f>
        <v>N</v>
      </c>
      <c r="T260" s="103">
        <f ca="1">IFERROR(__xludf.DUMMYFUNCTION("""COMPUTED_VALUE"""),1)</f>
        <v>1</v>
      </c>
      <c r="U260" s="103">
        <f ca="1">IFERROR(__xludf.DUMMYFUNCTION("""COMPUTED_VALUE"""),2)</f>
        <v>2</v>
      </c>
      <c r="V260" s="103"/>
      <c r="W260" s="103"/>
      <c r="X260" s="103"/>
      <c r="Y260" s="103"/>
      <c r="Z260" s="103"/>
      <c r="AA260" s="103"/>
      <c r="AB260" s="103"/>
      <c r="AC260" s="103"/>
      <c r="AD260" s="103">
        <f ca="1">IFERROR(__xludf.DUMMYFUNCTION("""COMPUTED_VALUE"""),53)</f>
        <v>53</v>
      </c>
      <c r="AE260" s="103">
        <f ca="1">IFERROR(__xludf.DUMMYFUNCTION("""COMPUTED_VALUE"""),10.4)</f>
        <v>10.4</v>
      </c>
      <c r="AF260" s="103">
        <f ca="1">IFERROR(__xludf.DUMMYFUNCTION("""COMPUTED_VALUE"""),300)</f>
        <v>300</v>
      </c>
      <c r="AG260" s="103">
        <f ca="1">IFERROR(__xludf.DUMMYFUNCTION("""COMPUTED_VALUE"""),7)</f>
        <v>7</v>
      </c>
      <c r="AH260" s="103">
        <f ca="1">IFERROR(__xludf.DUMMYFUNCTION("""COMPUTED_VALUE"""),31)</f>
        <v>31</v>
      </c>
      <c r="AI260" s="103">
        <f ca="1">IFERROR(__xludf.DUMMYFUNCTION("""COMPUTED_VALUE"""),820)</f>
        <v>820</v>
      </c>
      <c r="AJ260" s="103" t="str">
        <f ca="1">IFERROR(__xludf.DUMMYFUNCTION("""COMPUTED_VALUE"""),"MORS")</f>
        <v>MORS</v>
      </c>
      <c r="AK260" s="103">
        <f ca="1">IFERROR(__xludf.DUMMYFUNCTION("""COMPUTED_VALUE"""),20)</f>
        <v>20</v>
      </c>
      <c r="AL260" s="103"/>
      <c r="AM260" s="103"/>
      <c r="AN260" s="103"/>
      <c r="AO260" s="57">
        <f ca="1">IFERROR(__xludf.DUMMYFUNCTION("""COMPUTED_VALUE"""),0)</f>
        <v>0</v>
      </c>
      <c r="AP260" s="103">
        <f ca="1">IFERROR(__xludf.DUMMYFUNCTION("""COMPUTED_VALUE"""),4)</f>
        <v>4</v>
      </c>
    </row>
    <row r="261" spans="1:42">
      <c r="A261" s="103">
        <f ca="1">IFERROR(__xludf.DUMMYFUNCTION("""COMPUTED_VALUE"""),3)</f>
        <v>3</v>
      </c>
      <c r="B261" s="103" t="str">
        <f ca="1">IFERROR(__xludf.DUMMYFUNCTION("""COMPUTED_VALUE"""),"LAC")</f>
        <v>LAC</v>
      </c>
      <c r="C261" s="103" t="str">
        <f ca="1">IFERROR(__xludf.DUMMYFUNCTION("""COMPUTED_VALUE"""),"D")</f>
        <v>D</v>
      </c>
      <c r="D261" s="103">
        <f ca="1">IFERROR(__xludf.DUMMYFUNCTION("""COMPUTED_VALUE"""),288029977)</f>
        <v>288029977</v>
      </c>
      <c r="E261" s="103" t="str">
        <f ca="1">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 ca="1">IFERROR(__xludf.DUMMYFUNCTION("""COMPUTED_VALUE"""),7)</f>
        <v>7</v>
      </c>
      <c r="AH261" s="103">
        <f ca="1">IFERROR(__xludf.DUMMYFUNCTION("""COMPUTED_VALUE"""),31)</f>
        <v>31</v>
      </c>
      <c r="AI261" s="103">
        <f ca="1">IFERROR(__xludf.DUMMYFUNCTION("""COMPUTED_VALUE"""),820)</f>
        <v>820</v>
      </c>
      <c r="AJ261" s="103" t="str">
        <f ca="1">IFERROR(__xludf.DUMMYFUNCTION("""COMPUTED_VALUE"""),"MORS")</f>
        <v>MORS</v>
      </c>
      <c r="AK261" s="103"/>
      <c r="AL261" s="103"/>
      <c r="AM261" s="103">
        <f ca="1">IFERROR(__xludf.DUMMYFUNCTION("""COMPUTED_VALUE"""),1)</f>
        <v>1</v>
      </c>
      <c r="AN261" s="103" t="str">
        <f ca="1">IFERROR(__xludf.DUMMYFUNCTION("""COMPUTED_VALUE"""),"Band Destroyed")</f>
        <v>Band Destroyed</v>
      </c>
      <c r="AO261" s="57">
        <f ca="1">IFERROR(__xludf.DUMMYFUNCTION("""COMPUTED_VALUE"""),0)</f>
        <v>0</v>
      </c>
      <c r="AP261" s="103">
        <f ca="1">IFERROR(__xludf.DUMMYFUNCTION("""COMPUTED_VALUE"""),4)</f>
        <v>4</v>
      </c>
    </row>
    <row r="262" spans="1:42">
      <c r="A262" s="103">
        <f ca="1">IFERROR(__xludf.DUMMYFUNCTION("""COMPUTED_VALUE"""),4)</f>
        <v>4</v>
      </c>
      <c r="B262" s="103" t="str">
        <f ca="1">IFERROR(__xludf.DUMMYFUNCTION("""COMPUTED_VALUE"""),"LAC")</f>
        <v>LAC</v>
      </c>
      <c r="C262" s="103" t="str">
        <f ca="1">IFERROR(__xludf.DUMMYFUNCTION("""COMPUTED_VALUE"""),"R")</f>
        <v>R</v>
      </c>
      <c r="D262" s="103">
        <f ca="1">IFERROR(__xludf.DUMMYFUNCTION("""COMPUTED_VALUE"""),172176254)</f>
        <v>172176254</v>
      </c>
      <c r="E262" s="103" t="str">
        <f ca="1">IFERROR(__xludf.DUMMYFUNCTION("""COMPUTED_VALUE"""),"Swainson's Thrush")</f>
        <v>Swainson's Thrush</v>
      </c>
      <c r="F262" s="103" t="str">
        <f ca="1">IFERROR(__xludf.DUMMYFUNCTION("""COMPUTED_VALUE"""),"SWTH")</f>
        <v>SWTH</v>
      </c>
      <c r="G262" s="103">
        <f ca="1">IFERROR(__xludf.DUMMYFUNCTION("""COMPUTED_VALUE"""),2)</f>
        <v>2</v>
      </c>
      <c r="H262" s="103" t="str">
        <f ca="1">IFERROR(__xludf.DUMMYFUNCTION("""COMPUTED_VALUE"""),"J")</f>
        <v>J</v>
      </c>
      <c r="I262" s="103"/>
      <c r="J262" s="103" t="str">
        <f ca="1">IFERROR(__xludf.DUMMYFUNCTION("""COMPUTED_VALUE"""),"FPJ")</f>
        <v>FPJ</v>
      </c>
      <c r="K262" s="103" t="str">
        <f ca="1">IFERROR(__xludf.DUMMYFUNCTION("""COMPUTED_VALUE"""),"U")</f>
        <v>U</v>
      </c>
      <c r="L262" s="103"/>
      <c r="M262" s="103"/>
      <c r="N262" s="103">
        <f ca="1">IFERROR(__xludf.DUMMYFUNCTION("""COMPUTED_VALUE"""),3)</f>
        <v>3</v>
      </c>
      <c r="O262" s="103">
        <f ca="1">IFERROR(__xludf.DUMMYFUNCTION("""COMPUTED_VALUE"""),0)</f>
        <v>0</v>
      </c>
      <c r="P262" s="103">
        <f ca="1">IFERROR(__xludf.DUMMYFUNCTION("""COMPUTED_VALUE"""),0)</f>
        <v>0</v>
      </c>
      <c r="Q262" s="103">
        <f ca="1">IFERROR(__xludf.DUMMYFUNCTION("""COMPUTED_VALUE"""),1)</f>
        <v>1</v>
      </c>
      <c r="R262" s="103">
        <f ca="1">IFERROR(__xludf.DUMMYFUNCTION("""COMPUTED_VALUE"""),2)</f>
        <v>2</v>
      </c>
      <c r="S262" s="103" t="str">
        <f ca="1">IFERROR(__xludf.DUMMYFUNCTION("""COMPUTED_VALUE"""),"N")</f>
        <v>N</v>
      </c>
      <c r="T262" s="103">
        <f ca="1">IFERROR(__xludf.DUMMYFUNCTION("""COMPUTED_VALUE"""),1)</f>
        <v>1</v>
      </c>
      <c r="U262" s="103">
        <f ca="1">IFERROR(__xludf.DUMMYFUNCTION("""COMPUTED_VALUE"""),3)</f>
        <v>3</v>
      </c>
      <c r="V262" s="103"/>
      <c r="W262" s="103"/>
      <c r="X262" s="103"/>
      <c r="Y262" s="103"/>
      <c r="Z262" s="103"/>
      <c r="AA262" s="103"/>
      <c r="AB262" s="103"/>
      <c r="AC262" s="103"/>
      <c r="AD262" s="103">
        <f ca="1">IFERROR(__xludf.DUMMYFUNCTION("""COMPUTED_VALUE"""),91)</f>
        <v>91</v>
      </c>
      <c r="AE262" s="103">
        <f ca="1">IFERROR(__xludf.DUMMYFUNCTION("""COMPUTED_VALUE"""),29.1)</f>
        <v>29.1</v>
      </c>
      <c r="AF262" s="103">
        <f ca="1">IFERROR(__xludf.DUMMYFUNCTION("""COMPUTED_VALUE"""),300)</f>
        <v>300</v>
      </c>
      <c r="AG262" s="103">
        <f ca="1">IFERROR(__xludf.DUMMYFUNCTION("""COMPUTED_VALUE"""),7)</f>
        <v>7</v>
      </c>
      <c r="AH262" s="103">
        <f ca="1">IFERROR(__xludf.DUMMYFUNCTION("""COMPUTED_VALUE"""),31)</f>
        <v>31</v>
      </c>
      <c r="AI262" s="103">
        <f ca="1">IFERROR(__xludf.DUMMYFUNCTION("""COMPUTED_VALUE"""),850)</f>
        <v>850</v>
      </c>
      <c r="AJ262" s="103" t="str">
        <f ca="1">IFERROR(__xludf.DUMMYFUNCTION("""COMPUTED_VALUE"""),"MORS")</f>
        <v>MORS</v>
      </c>
      <c r="AK262" s="103">
        <f ca="1">IFERROR(__xludf.DUMMYFUNCTION("""COMPUTED_VALUE"""),10)</f>
        <v>10</v>
      </c>
      <c r="AL262" s="103"/>
      <c r="AM262" s="103"/>
      <c r="AN262" s="103"/>
      <c r="AO262" s="57" t="str">
        <f ca="1">IFERROR(__xludf.DUMMYFUNCTION("""COMPUTED_VALUE"""),"R")</f>
        <v>R</v>
      </c>
      <c r="AP262" s="103">
        <f ca="1">IFERROR(__xludf.DUMMYFUNCTION("""COMPUTED_VALUE"""),4)</f>
        <v>4</v>
      </c>
    </row>
    <row r="263" spans="1:42">
      <c r="A263" s="103">
        <f ca="1">IFERROR(__xludf.DUMMYFUNCTION("""COMPUTED_VALUE"""),5)</f>
        <v>5</v>
      </c>
      <c r="B263" s="103" t="str">
        <f ca="1">IFERROR(__xludf.DUMMYFUNCTION("""COMPUTED_VALUE"""),"LAC")</f>
        <v>LAC</v>
      </c>
      <c r="C263" s="103" t="str">
        <f ca="1">IFERROR(__xludf.DUMMYFUNCTION("""COMPUTED_VALUE"""),"R")</f>
        <v>R</v>
      </c>
      <c r="D263" s="103">
        <f ca="1">IFERROR(__xludf.DUMMYFUNCTION("""COMPUTED_VALUE"""),172176261)</f>
        <v>172176261</v>
      </c>
      <c r="E263" s="103" t="str">
        <f ca="1">IFERROR(__xludf.DUMMYFUNCTION("""COMPUTED_VALUE"""),"Swainson's Thrush")</f>
        <v>Swainson's Thrush</v>
      </c>
      <c r="F263" s="103" t="str">
        <f ca="1">IFERROR(__xludf.DUMMYFUNCTION("""COMPUTED_VALUE"""),"SWTH")</f>
        <v>SWTH</v>
      </c>
      <c r="G263" s="103">
        <f ca="1">IFERROR(__xludf.DUMMYFUNCTION("""COMPUTED_VALUE"""),2)</f>
        <v>2</v>
      </c>
      <c r="H263" s="103" t="str">
        <f ca="1">IFERROR(__xludf.DUMMYFUNCTION("""COMPUTED_VALUE"""),"J")</f>
        <v>J</v>
      </c>
      <c r="I263" s="103"/>
      <c r="J263" s="103" t="str">
        <f ca="1">IFERROR(__xludf.DUMMYFUNCTION("""COMPUTED_VALUE"""),"FPF")</f>
        <v>FPF</v>
      </c>
      <c r="K263" s="103" t="str">
        <f ca="1">IFERROR(__xludf.DUMMYFUNCTION("""COMPUTED_VALUE"""),"U")</f>
        <v>U</v>
      </c>
      <c r="L263" s="103"/>
      <c r="M263" s="103"/>
      <c r="N263" s="103">
        <f ca="1">IFERROR(__xludf.DUMMYFUNCTION("""COMPUTED_VALUE"""),2)</f>
        <v>2</v>
      </c>
      <c r="O263" s="103">
        <f ca="1">IFERROR(__xludf.DUMMYFUNCTION("""COMPUTED_VALUE"""),0)</f>
        <v>0</v>
      </c>
      <c r="P263" s="103">
        <f ca="1">IFERROR(__xludf.DUMMYFUNCTION("""COMPUTED_VALUE"""),0)</f>
        <v>0</v>
      </c>
      <c r="Q263" s="103">
        <f ca="1">IFERROR(__xludf.DUMMYFUNCTION("""COMPUTED_VALUE"""),1)</f>
        <v>1</v>
      </c>
      <c r="R263" s="103">
        <f ca="1">IFERROR(__xludf.DUMMYFUNCTION("""COMPUTED_VALUE"""),3)</f>
        <v>3</v>
      </c>
      <c r="S263" s="103" t="str">
        <f ca="1">IFERROR(__xludf.DUMMYFUNCTION("""COMPUTED_VALUE"""),"N")</f>
        <v>N</v>
      </c>
      <c r="T263" s="103">
        <f ca="1">IFERROR(__xludf.DUMMYFUNCTION("""COMPUTED_VALUE"""),1)</f>
        <v>1</v>
      </c>
      <c r="U263" s="103">
        <f ca="1">IFERROR(__xludf.DUMMYFUNCTION("""COMPUTED_VALUE"""),1)</f>
        <v>1</v>
      </c>
      <c r="V263" s="103"/>
      <c r="W263" s="103"/>
      <c r="X263" s="103"/>
      <c r="Y263" s="103"/>
      <c r="Z263" s="103"/>
      <c r="AA263" s="103"/>
      <c r="AB263" s="103"/>
      <c r="AC263" s="103"/>
      <c r="AD263" s="103">
        <f ca="1">IFERROR(__xludf.DUMMYFUNCTION("""COMPUTED_VALUE"""),96)</f>
        <v>96</v>
      </c>
      <c r="AE263" s="103">
        <f ca="1">IFERROR(__xludf.DUMMYFUNCTION("""COMPUTED_VALUE"""),32.3)</f>
        <v>32.299999999999997</v>
      </c>
      <c r="AF263" s="103">
        <f ca="1">IFERROR(__xludf.DUMMYFUNCTION("""COMPUTED_VALUE"""),300)</f>
        <v>300</v>
      </c>
      <c r="AG263" s="103">
        <f ca="1">IFERROR(__xludf.DUMMYFUNCTION("""COMPUTED_VALUE"""),7)</f>
        <v>7</v>
      </c>
      <c r="AH263" s="103">
        <f ca="1">IFERROR(__xludf.DUMMYFUNCTION("""COMPUTED_VALUE"""),31)</f>
        <v>31</v>
      </c>
      <c r="AI263" s="103">
        <f ca="1">IFERROR(__xludf.DUMMYFUNCTION("""COMPUTED_VALUE"""),920)</f>
        <v>920</v>
      </c>
      <c r="AJ263" s="103" t="str">
        <f ca="1">IFERROR(__xludf.DUMMYFUNCTION("""COMPUTED_VALUE"""),"MORS")</f>
        <v>MORS</v>
      </c>
      <c r="AK263" s="103">
        <f ca="1">IFERROR(__xludf.DUMMYFUNCTION("""COMPUTED_VALUE"""),20)</f>
        <v>20</v>
      </c>
      <c r="AL263" s="103"/>
      <c r="AM263" s="103">
        <f ca="1">IFERROR(__xludf.DUMMYFUNCTION("""COMPUTED_VALUE"""),2)</f>
        <v>2</v>
      </c>
      <c r="AN263" s="103" t="str">
        <f ca="1">IFERROR(__xludf.DUMMYFUNCTION("""COMPUTED_VALUE"""),"Bird flew to ground and rand away into brush.")</f>
        <v>Bird flew to ground and rand away into brush.</v>
      </c>
      <c r="AO263" s="57" t="str">
        <f ca="1">IFERROR(__xludf.DUMMYFUNCTION("""COMPUTED_VALUE"""),"R")</f>
        <v>R</v>
      </c>
      <c r="AP263" s="103">
        <f ca="1">IFERROR(__xludf.DUMMYFUNCTION("""COMPUTED_VALUE"""),4)</f>
        <v>4</v>
      </c>
    </row>
    <row r="264" spans="1:42">
      <c r="A264" s="103">
        <f ca="1">IFERROR(__xludf.DUMMYFUNCTION("""COMPUTED_VALUE"""),6)</f>
        <v>6</v>
      </c>
      <c r="B264" s="103" t="str">
        <f ca="1">IFERROR(__xludf.DUMMYFUNCTION("""COMPUTED_VALUE"""),"LAC")</f>
        <v>LAC</v>
      </c>
      <c r="C264" s="103" t="str">
        <f ca="1">IFERROR(__xludf.DUMMYFUNCTION("""COMPUTED_VALUE"""),"R")</f>
        <v>R</v>
      </c>
      <c r="D264" s="103">
        <f ca="1">IFERROR(__xludf.DUMMYFUNCTION("""COMPUTED_VALUE"""),288029975)</f>
        <v>288029975</v>
      </c>
      <c r="E264" s="103" t="str">
        <f ca="1">IFERROR(__xludf.DUMMYFUNCTION("""COMPUTED_VALUE"""),"Black-capped Chickadee")</f>
        <v>Black-capped Chickadee</v>
      </c>
      <c r="F264" s="103" t="str">
        <f ca="1">IFERROR(__xludf.DUMMYFUNCTION("""COMPUTED_VALUE"""),"BCCH")</f>
        <v>BCCH</v>
      </c>
      <c r="G264" s="103">
        <f ca="1">IFERROR(__xludf.DUMMYFUNCTION("""COMPUTED_VALUE"""),2)</f>
        <v>2</v>
      </c>
      <c r="H264" s="103" t="str">
        <f ca="1">IFERROR(__xludf.DUMMYFUNCTION("""COMPUTED_VALUE"""),"J")</f>
        <v>J</v>
      </c>
      <c r="I264" s="103" t="str">
        <f ca="1">IFERROR(__xludf.DUMMYFUNCTION("""COMPUTED_VALUE"""),"S")</f>
        <v>S</v>
      </c>
      <c r="J264" s="103" t="str">
        <f ca="1">IFERROR(__xludf.DUMMYFUNCTION("""COMPUTED_VALUE"""),"FPJ")</f>
        <v>FPJ</v>
      </c>
      <c r="K264" s="103" t="str">
        <f ca="1">IFERROR(__xludf.DUMMYFUNCTION("""COMPUTED_VALUE"""),"U")</f>
        <v>U</v>
      </c>
      <c r="L264" s="103"/>
      <c r="M264" s="103"/>
      <c r="N264" s="103">
        <f ca="1">IFERROR(__xludf.DUMMYFUNCTION("""COMPUTED_VALUE"""),3)</f>
        <v>3</v>
      </c>
      <c r="O264" s="103">
        <f ca="1">IFERROR(__xludf.DUMMYFUNCTION("""COMPUTED_VALUE"""),0)</f>
        <v>0</v>
      </c>
      <c r="P264" s="103">
        <f ca="1">IFERROR(__xludf.DUMMYFUNCTION("""COMPUTED_VALUE"""),0)</f>
        <v>0</v>
      </c>
      <c r="Q264" s="103">
        <f ca="1">IFERROR(__xludf.DUMMYFUNCTION("""COMPUTED_VALUE"""),2)</f>
        <v>2</v>
      </c>
      <c r="R264" s="103">
        <f ca="1">IFERROR(__xludf.DUMMYFUNCTION("""COMPUTED_VALUE"""),3)</f>
        <v>3</v>
      </c>
      <c r="S264" s="103" t="str">
        <f ca="1">IFERROR(__xludf.DUMMYFUNCTION("""COMPUTED_VALUE"""),"N")</f>
        <v>N</v>
      </c>
      <c r="T264" s="103">
        <f ca="1">IFERROR(__xludf.DUMMYFUNCTION("""COMPUTED_VALUE"""),1)</f>
        <v>1</v>
      </c>
      <c r="U264" s="103">
        <f ca="1">IFERROR(__xludf.DUMMYFUNCTION("""COMPUTED_VALUE"""),3)</f>
        <v>3</v>
      </c>
      <c r="V264" s="103"/>
      <c r="W264" s="103"/>
      <c r="X264" s="103"/>
      <c r="Y264" s="103"/>
      <c r="Z264" s="103"/>
      <c r="AA264" s="103"/>
      <c r="AB264" s="103"/>
      <c r="AC264" s="103"/>
      <c r="AD264" s="103">
        <f ca="1">IFERROR(__xludf.DUMMYFUNCTION("""COMPUTED_VALUE"""),60)</f>
        <v>60</v>
      </c>
      <c r="AE264" s="103">
        <f ca="1">IFERROR(__xludf.DUMMYFUNCTION("""COMPUTED_VALUE"""),10.7)</f>
        <v>10.7</v>
      </c>
      <c r="AF264" s="103">
        <f ca="1">IFERROR(__xludf.DUMMYFUNCTION("""COMPUTED_VALUE"""),300)</f>
        <v>300</v>
      </c>
      <c r="AG264" s="103">
        <f ca="1">IFERROR(__xludf.DUMMYFUNCTION("""COMPUTED_VALUE"""),7)</f>
        <v>7</v>
      </c>
      <c r="AH264" s="103">
        <f ca="1">IFERROR(__xludf.DUMMYFUNCTION("""COMPUTED_VALUE"""),31)</f>
        <v>31</v>
      </c>
      <c r="AI264" s="103">
        <f ca="1">IFERROR(__xludf.DUMMYFUNCTION("""COMPUTED_VALUE"""),950)</f>
        <v>950</v>
      </c>
      <c r="AJ264" s="103" t="str">
        <f ca="1">IFERROR(__xludf.DUMMYFUNCTION("""COMPUTED_VALUE"""),"MORS")</f>
        <v>MORS</v>
      </c>
      <c r="AK264" s="103">
        <f ca="1">IFERROR(__xludf.DUMMYFUNCTION("""COMPUTED_VALUE"""),10)</f>
        <v>10</v>
      </c>
      <c r="AL264" s="103"/>
      <c r="AM264" s="103"/>
      <c r="AN264" s="103"/>
      <c r="AO264" s="57" t="str">
        <f ca="1">IFERROR(__xludf.DUMMYFUNCTION("""COMPUTED_VALUE"""),"R")</f>
        <v>R</v>
      </c>
      <c r="AP264" s="103">
        <f ca="1">IFERROR(__xludf.DUMMYFUNCTION("""COMPUTED_VALUE"""),4)</f>
        <v>4</v>
      </c>
    </row>
    <row r="265" spans="1:42">
      <c r="A265" s="103">
        <f ca="1">IFERROR(__xludf.DUMMYFUNCTION("""COMPUTED_VALUE"""),7)</f>
        <v>7</v>
      </c>
      <c r="B265" s="103" t="str">
        <f ca="1">IFERROR(__xludf.DUMMYFUNCTION("""COMPUTED_VALUE"""),"LAC")</f>
        <v>LAC</v>
      </c>
      <c r="C265" s="103" t="str">
        <f ca="1">IFERROR(__xludf.DUMMYFUNCTION("""COMPUTED_VALUE"""),"N")</f>
        <v>N</v>
      </c>
      <c r="D265" s="103">
        <f ca="1">IFERROR(__xludf.DUMMYFUNCTION("""COMPUTED_VALUE"""),172176273)</f>
        <v>172176273</v>
      </c>
      <c r="E265" s="103" t="str">
        <f ca="1">IFERROR(__xludf.DUMMYFUNCTION("""COMPUTED_VALUE"""),"Swainson's Thrush")</f>
        <v>Swainson's Thrush</v>
      </c>
      <c r="F265" s="103" t="str">
        <f ca="1">IFERROR(__xludf.DUMMYFUNCTION("""COMPUTED_VALUE"""),"SWTH")</f>
        <v>SWTH</v>
      </c>
      <c r="G265" s="103">
        <f ca="1">IFERROR(__xludf.DUMMYFUNCTION("""COMPUTED_VALUE"""),2)</f>
        <v>2</v>
      </c>
      <c r="H265" s="103" t="str">
        <f ca="1">IFERROR(__xludf.DUMMYFUNCTION("""COMPUTED_VALUE"""),"J")</f>
        <v>J</v>
      </c>
      <c r="I265" s="103" t="str">
        <f ca="1">IFERROR(__xludf.DUMMYFUNCTION("""COMPUTED_VALUE"""),"S")</f>
        <v>S</v>
      </c>
      <c r="J265" s="103" t="str">
        <f ca="1">IFERROR(__xludf.DUMMYFUNCTION("""COMPUTED_VALUE"""),"FPF")</f>
        <v>FPF</v>
      </c>
      <c r="K265" s="103" t="str">
        <f ca="1">IFERROR(__xludf.DUMMYFUNCTION("""COMPUTED_VALUE"""),"U")</f>
        <v>U</v>
      </c>
      <c r="L265" s="103"/>
      <c r="M265" s="103"/>
      <c r="N265" s="103">
        <f ca="1">IFERROR(__xludf.DUMMYFUNCTION("""COMPUTED_VALUE"""),2)</f>
        <v>2</v>
      </c>
      <c r="O265" s="103">
        <f ca="1">IFERROR(__xludf.DUMMYFUNCTION("""COMPUTED_VALUE"""),0)</f>
        <v>0</v>
      </c>
      <c r="P265" s="103">
        <f ca="1">IFERROR(__xludf.DUMMYFUNCTION("""COMPUTED_VALUE"""),0)</f>
        <v>0</v>
      </c>
      <c r="Q265" s="103">
        <f ca="1">IFERROR(__xludf.DUMMYFUNCTION("""COMPUTED_VALUE"""),1)</f>
        <v>1</v>
      </c>
      <c r="R265" s="103">
        <f ca="1">IFERROR(__xludf.DUMMYFUNCTION("""COMPUTED_VALUE"""),3)</f>
        <v>3</v>
      </c>
      <c r="S265" s="103" t="str">
        <f ca="1">IFERROR(__xludf.DUMMYFUNCTION("""COMPUTED_VALUE"""),"J")</f>
        <v>J</v>
      </c>
      <c r="T265" s="103">
        <f ca="1">IFERROR(__xludf.DUMMYFUNCTION("""COMPUTED_VALUE"""),0)</f>
        <v>0</v>
      </c>
      <c r="U265" s="103">
        <f ca="1">IFERROR(__xludf.DUMMYFUNCTION("""COMPUTED_VALUE"""),1)</f>
        <v>1</v>
      </c>
      <c r="V265" s="103"/>
      <c r="W265" s="103"/>
      <c r="X265" s="103"/>
      <c r="Y265" s="103"/>
      <c r="Z265" s="103"/>
      <c r="AA265" s="103"/>
      <c r="AB265" s="103"/>
      <c r="AC265" s="103"/>
      <c r="AD265" s="103">
        <f ca="1">IFERROR(__xludf.DUMMYFUNCTION("""COMPUTED_VALUE"""),90)</f>
        <v>90</v>
      </c>
      <c r="AE265" s="103">
        <f ca="1">IFERROR(__xludf.DUMMYFUNCTION("""COMPUTED_VALUE"""),31.3)</f>
        <v>31.3</v>
      </c>
      <c r="AF265" s="103">
        <f ca="1">IFERROR(__xludf.DUMMYFUNCTION("""COMPUTED_VALUE"""),300)</f>
        <v>300</v>
      </c>
      <c r="AG265" s="103">
        <f ca="1">IFERROR(__xludf.DUMMYFUNCTION("""COMPUTED_VALUE"""),7)</f>
        <v>7</v>
      </c>
      <c r="AH265" s="103">
        <f ca="1">IFERROR(__xludf.DUMMYFUNCTION("""COMPUTED_VALUE"""),31)</f>
        <v>31</v>
      </c>
      <c r="AI265" s="103">
        <f ca="1">IFERROR(__xludf.DUMMYFUNCTION("""COMPUTED_VALUE"""),1150)</f>
        <v>1150</v>
      </c>
      <c r="AJ265" s="103" t="str">
        <f ca="1">IFERROR(__xludf.DUMMYFUNCTION("""COMPUTED_VALUE"""),"MORS")</f>
        <v>MORS</v>
      </c>
      <c r="AK265" s="103">
        <f ca="1">IFERROR(__xludf.DUMMYFUNCTION("""COMPUTED_VALUE"""),9)</f>
        <v>9</v>
      </c>
      <c r="AL265" s="103"/>
      <c r="AM265" s="103"/>
      <c r="AN265" s="103"/>
      <c r="AO265" s="57" t="str">
        <f ca="1">IFERROR(__xludf.DUMMYFUNCTION("""COMPUTED_VALUE"""),"1B")</f>
        <v>1B</v>
      </c>
      <c r="AP265" s="103">
        <f ca="1">IFERROR(__xludf.DUMMYFUNCTION("""COMPUTED_VALUE"""),4)</f>
        <v>4</v>
      </c>
    </row>
    <row r="266" spans="1:42">
      <c r="A266" s="103">
        <f ca="1">IFERROR(__xludf.DUMMYFUNCTION("""COMPUTED_VALUE"""),8)</f>
        <v>8</v>
      </c>
      <c r="B266" s="103" t="str">
        <f ca="1">IFERROR(__xludf.DUMMYFUNCTION("""COMPUTED_VALUE"""),"LAC")</f>
        <v>LAC</v>
      </c>
      <c r="C266" s="103" t="str">
        <f ca="1">IFERROR(__xludf.DUMMYFUNCTION("""COMPUTED_VALUE"""),"N")</f>
        <v>N</v>
      </c>
      <c r="D266" s="103">
        <f ca="1">IFERROR(__xludf.DUMMYFUNCTION("""COMPUTED_VALUE"""),172176275)</f>
        <v>172176275</v>
      </c>
      <c r="E266" s="103" t="str">
        <f ca="1">IFERROR(__xludf.DUMMYFUNCTION("""COMPUTED_VALUE"""),"Swainson's Thrush")</f>
        <v>Swainson's Thrush</v>
      </c>
      <c r="F266" s="103" t="str">
        <f ca="1">IFERROR(__xludf.DUMMYFUNCTION("""COMPUTED_VALUE"""),"SWTH")</f>
        <v>SWTH</v>
      </c>
      <c r="G266" s="103">
        <f ca="1">IFERROR(__xludf.DUMMYFUNCTION("""COMPUTED_VALUE"""),2)</f>
        <v>2</v>
      </c>
      <c r="H266" s="103" t="str">
        <f ca="1">IFERROR(__xludf.DUMMYFUNCTION("""COMPUTED_VALUE"""),"J")</f>
        <v>J</v>
      </c>
      <c r="I266" s="103" t="str">
        <f ca="1">IFERROR(__xludf.DUMMYFUNCTION("""COMPUTED_VALUE"""),"S")</f>
        <v>S</v>
      </c>
      <c r="J266" s="103" t="str">
        <f ca="1">IFERROR(__xludf.DUMMYFUNCTION("""COMPUTED_VALUE"""),"FPJ")</f>
        <v>FPJ</v>
      </c>
      <c r="K266" s="103" t="str">
        <f ca="1">IFERROR(__xludf.DUMMYFUNCTION("""COMPUTED_VALUE"""),"U")</f>
        <v>U</v>
      </c>
      <c r="L266" s="103"/>
      <c r="M266" s="103"/>
      <c r="N266" s="103">
        <f ca="1">IFERROR(__xludf.DUMMYFUNCTION("""COMPUTED_VALUE"""),3)</f>
        <v>3</v>
      </c>
      <c r="O266" s="103">
        <f ca="1">IFERROR(__xludf.DUMMYFUNCTION("""COMPUTED_VALUE"""),0)</f>
        <v>0</v>
      </c>
      <c r="P266" s="103">
        <f ca="1">IFERROR(__xludf.DUMMYFUNCTION("""COMPUTED_VALUE"""),0)</f>
        <v>0</v>
      </c>
      <c r="Q266" s="103">
        <f ca="1">IFERROR(__xludf.DUMMYFUNCTION("""COMPUTED_VALUE"""),1)</f>
        <v>1</v>
      </c>
      <c r="R266" s="103">
        <f ca="1">IFERROR(__xludf.DUMMYFUNCTION("""COMPUTED_VALUE"""),2)</f>
        <v>2</v>
      </c>
      <c r="S266" s="103" t="str">
        <f ca="1">IFERROR(__xludf.DUMMYFUNCTION("""COMPUTED_VALUE"""),"N")</f>
        <v>N</v>
      </c>
      <c r="T266" s="103">
        <f ca="1">IFERROR(__xludf.DUMMYFUNCTION("""COMPUTED_VALUE"""),1)</f>
        <v>1</v>
      </c>
      <c r="U266" s="103">
        <f ca="1">IFERROR(__xludf.DUMMYFUNCTION("""COMPUTED_VALUE"""),3)</f>
        <v>3</v>
      </c>
      <c r="V266" s="103"/>
      <c r="W266" s="103"/>
      <c r="X266" s="103"/>
      <c r="Y266" s="103"/>
      <c r="Z266" s="103"/>
      <c r="AA266" s="103"/>
      <c r="AB266" s="103"/>
      <c r="AC266" s="103"/>
      <c r="AD266" s="103">
        <f ca="1">IFERROR(__xludf.DUMMYFUNCTION("""COMPUTED_VALUE"""),96)</f>
        <v>96</v>
      </c>
      <c r="AE266" s="103">
        <f ca="1">IFERROR(__xludf.DUMMYFUNCTION("""COMPUTED_VALUE"""),31.8)</f>
        <v>31.8</v>
      </c>
      <c r="AF266" s="103">
        <f ca="1">IFERROR(__xludf.DUMMYFUNCTION("""COMPUTED_VALUE"""),300)</f>
        <v>300</v>
      </c>
      <c r="AG266" s="103">
        <f ca="1">IFERROR(__xludf.DUMMYFUNCTION("""COMPUTED_VALUE"""),7)</f>
        <v>7</v>
      </c>
      <c r="AH266" s="103">
        <f ca="1">IFERROR(__xludf.DUMMYFUNCTION("""COMPUTED_VALUE"""),31)</f>
        <v>31</v>
      </c>
      <c r="AI266" s="103">
        <f ca="1">IFERROR(__xludf.DUMMYFUNCTION("""COMPUTED_VALUE"""),1150)</f>
        <v>1150</v>
      </c>
      <c r="AJ266" s="103" t="str">
        <f ca="1">IFERROR(__xludf.DUMMYFUNCTION("""COMPUTED_VALUE"""),"MORS")</f>
        <v>MORS</v>
      </c>
      <c r="AK266" s="103">
        <f ca="1">IFERROR(__xludf.DUMMYFUNCTION("""COMPUTED_VALUE"""),20)</f>
        <v>20</v>
      </c>
      <c r="AL266" s="103"/>
      <c r="AM266" s="103"/>
      <c r="AN266" s="103"/>
      <c r="AO266" s="57" t="str">
        <f ca="1">IFERROR(__xludf.DUMMYFUNCTION("""COMPUTED_VALUE"""),"1B")</f>
        <v>1B</v>
      </c>
      <c r="AP266" s="103">
        <f ca="1">IFERROR(__xludf.DUMMYFUNCTION("""COMPUTED_VALUE"""),4)</f>
        <v>4</v>
      </c>
    </row>
    <row r="267" spans="1:42">
      <c r="A267" s="103">
        <f ca="1">IFERROR(__xludf.DUMMYFUNCTION("""COMPUTED_VALUE"""),9)</f>
        <v>9</v>
      </c>
      <c r="B267" s="103" t="str">
        <f ca="1">IFERROR(__xludf.DUMMYFUNCTION("""COMPUTED_VALUE"""),"LAC")</f>
        <v>LAC</v>
      </c>
      <c r="C267" s="103" t="str">
        <f ca="1">IFERROR(__xludf.DUMMYFUNCTION("""COMPUTED_VALUE"""),"N")</f>
        <v>N</v>
      </c>
      <c r="D267" s="103">
        <f ca="1">IFERROR(__xludf.DUMMYFUNCTION("""COMPUTED_VALUE"""),172176276)</f>
        <v>172176276</v>
      </c>
      <c r="E267" s="103" t="str">
        <f ca="1">IFERROR(__xludf.DUMMYFUNCTION("""COMPUTED_VALUE"""),"Swainson's Thrush")</f>
        <v>Swainson's Thrush</v>
      </c>
      <c r="F267" s="103" t="str">
        <f ca="1">IFERROR(__xludf.DUMMYFUNCTION("""COMPUTED_VALUE"""),"SWTH")</f>
        <v>SWTH</v>
      </c>
      <c r="G267" s="103">
        <f ca="1">IFERROR(__xludf.DUMMYFUNCTION("""COMPUTED_VALUE"""),2)</f>
        <v>2</v>
      </c>
      <c r="H267" s="103" t="str">
        <f ca="1">IFERROR(__xludf.DUMMYFUNCTION("""COMPUTED_VALUE"""),"J")</f>
        <v>J</v>
      </c>
      <c r="I267" s="103" t="str">
        <f ca="1">IFERROR(__xludf.DUMMYFUNCTION("""COMPUTED_VALUE"""),"S")</f>
        <v>S</v>
      </c>
      <c r="J267" s="103" t="str">
        <f ca="1">IFERROR(__xludf.DUMMYFUNCTION("""COMPUTED_VALUE"""),"FPJ")</f>
        <v>FPJ</v>
      </c>
      <c r="K267" s="103" t="str">
        <f ca="1">IFERROR(__xludf.DUMMYFUNCTION("""COMPUTED_VALUE"""),"U")</f>
        <v>U</v>
      </c>
      <c r="L267" s="103"/>
      <c r="M267" s="103"/>
      <c r="N267" s="103">
        <f ca="1">IFERROR(__xludf.DUMMYFUNCTION("""COMPUTED_VALUE"""),2)</f>
        <v>2</v>
      </c>
      <c r="O267" s="103">
        <f ca="1">IFERROR(__xludf.DUMMYFUNCTION("""COMPUTED_VALUE"""),0)</f>
        <v>0</v>
      </c>
      <c r="P267" s="103">
        <f ca="1">IFERROR(__xludf.DUMMYFUNCTION("""COMPUTED_VALUE"""),0)</f>
        <v>0</v>
      </c>
      <c r="Q267" s="103">
        <f ca="1">IFERROR(__xludf.DUMMYFUNCTION("""COMPUTED_VALUE"""),1)</f>
        <v>1</v>
      </c>
      <c r="R267" s="103">
        <f ca="1">IFERROR(__xludf.DUMMYFUNCTION("""COMPUTED_VALUE"""),3)</f>
        <v>3</v>
      </c>
      <c r="S267" s="103" t="str">
        <f ca="1">IFERROR(__xludf.DUMMYFUNCTION("""COMPUTED_VALUE"""),"J")</f>
        <v>J</v>
      </c>
      <c r="T267" s="103">
        <f ca="1">IFERROR(__xludf.DUMMYFUNCTION("""COMPUTED_VALUE"""),0)</f>
        <v>0</v>
      </c>
      <c r="U267" s="103">
        <f ca="1">IFERROR(__xludf.DUMMYFUNCTION("""COMPUTED_VALUE"""),3)</f>
        <v>3</v>
      </c>
      <c r="V267" s="103"/>
      <c r="W267" s="103"/>
      <c r="X267" s="103"/>
      <c r="Y267" s="103"/>
      <c r="Z267" s="103"/>
      <c r="AA267" s="103"/>
      <c r="AB267" s="103"/>
      <c r="AC267" s="103"/>
      <c r="AD267" s="103">
        <f ca="1">IFERROR(__xludf.DUMMYFUNCTION("""COMPUTED_VALUE"""),90)</f>
        <v>90</v>
      </c>
      <c r="AE267" s="103">
        <f ca="1">IFERROR(__xludf.DUMMYFUNCTION("""COMPUTED_VALUE"""),28.6)</f>
        <v>28.6</v>
      </c>
      <c r="AF267" s="103">
        <f ca="1">IFERROR(__xludf.DUMMYFUNCTION("""COMPUTED_VALUE"""),300)</f>
        <v>300</v>
      </c>
      <c r="AG267" s="103">
        <f ca="1">IFERROR(__xludf.DUMMYFUNCTION("""COMPUTED_VALUE"""),7)</f>
        <v>7</v>
      </c>
      <c r="AH267" s="103">
        <f ca="1">IFERROR(__xludf.DUMMYFUNCTION("""COMPUTED_VALUE"""),31)</f>
        <v>31</v>
      </c>
      <c r="AI267" s="103">
        <f ca="1">IFERROR(__xludf.DUMMYFUNCTION("""COMPUTED_VALUE"""),1220)</f>
        <v>1220</v>
      </c>
      <c r="AJ267" s="103" t="str">
        <f ca="1">IFERROR(__xludf.DUMMYFUNCTION("""COMPUTED_VALUE"""),"MORS")</f>
        <v>MORS</v>
      </c>
      <c r="AK267" s="103">
        <f ca="1">IFERROR(__xludf.DUMMYFUNCTION("""COMPUTED_VALUE"""),9)</f>
        <v>9</v>
      </c>
      <c r="AL267" s="103"/>
      <c r="AM267" s="103"/>
      <c r="AN267" s="103"/>
      <c r="AO267" s="57" t="str">
        <f ca="1">IFERROR(__xludf.DUMMYFUNCTION("""COMPUTED_VALUE"""),"1B")</f>
        <v>1B</v>
      </c>
      <c r="AP267" s="103">
        <f ca="1">IFERROR(__xludf.DUMMYFUNCTION("""COMPUTED_VALUE"""),4)</f>
        <v>4</v>
      </c>
    </row>
    <row r="268" spans="1:42">
      <c r="AO268" s="57"/>
    </row>
    <row r="269" spans="1:42">
      <c r="AO269" s="57"/>
    </row>
    <row r="270" spans="1:42">
      <c r="AO270" s="57"/>
    </row>
    <row r="271" spans="1:42">
      <c r="AO271" s="57"/>
    </row>
    <row r="272" spans="1:42">
      <c r="AO272" s="57"/>
    </row>
    <row r="273" spans="41:41">
      <c r="AO273" s="57"/>
    </row>
    <row r="274" spans="41:41">
      <c r="AO274" s="57"/>
    </row>
    <row r="275" spans="41:41">
      <c r="AO275" s="57"/>
    </row>
    <row r="276" spans="41:41">
      <c r="AO276" s="57"/>
    </row>
    <row r="277" spans="41:41">
      <c r="AO277" s="57"/>
    </row>
    <row r="278" spans="41:41">
      <c r="AO278" s="57"/>
    </row>
    <row r="279" spans="41:41">
      <c r="AO279" s="57"/>
    </row>
    <row r="280" spans="41:41">
      <c r="AO280" s="57"/>
    </row>
    <row r="281" spans="41:41">
      <c r="AO281" s="57"/>
    </row>
    <row r="282" spans="41:41">
      <c r="AO282" s="57"/>
    </row>
    <row r="283" spans="41:41">
      <c r="AO283" s="57"/>
    </row>
    <row r="284" spans="41:41">
      <c r="AO284" s="57"/>
    </row>
    <row r="285" spans="41:41">
      <c r="AO285" s="57"/>
    </row>
    <row r="286" spans="41:41">
      <c r="AO286" s="57"/>
    </row>
    <row r="287" spans="41:41">
      <c r="AO287" s="57"/>
    </row>
    <row r="288" spans="41:41">
      <c r="AO288" s="57"/>
    </row>
    <row r="289" spans="41:41">
      <c r="AO289" s="57"/>
    </row>
    <row r="290" spans="41:41">
      <c r="AO290" s="57"/>
    </row>
    <row r="291" spans="41:41">
      <c r="AO291" s="57"/>
    </row>
    <row r="292" spans="41:41">
      <c r="AO292" s="57"/>
    </row>
    <row r="293" spans="41:41">
      <c r="AO293" s="57"/>
    </row>
    <row r="294" spans="41:41">
      <c r="AO294" s="57"/>
    </row>
    <row r="295" spans="41:41">
      <c r="AO295" s="57"/>
    </row>
    <row r="296" spans="41:41">
      <c r="AO296" s="57"/>
    </row>
    <row r="297" spans="41:41">
      <c r="AO297" s="57"/>
    </row>
    <row r="298" spans="41:41">
      <c r="AO298" s="57"/>
    </row>
    <row r="299" spans="41:41">
      <c r="AO299" s="57"/>
    </row>
    <row r="300" spans="41:41">
      <c r="AO300" s="57"/>
    </row>
    <row r="301" spans="41:41">
      <c r="AO301" s="57"/>
    </row>
    <row r="302" spans="41:41">
      <c r="AO302" s="57"/>
    </row>
    <row r="303" spans="41:41">
      <c r="AO303" s="57"/>
    </row>
    <row r="304" spans="41:41">
      <c r="AO304" s="57"/>
    </row>
    <row r="305" spans="41:41">
      <c r="AO305" s="57"/>
    </row>
    <row r="306" spans="41:41">
      <c r="AO306" s="57"/>
    </row>
    <row r="307" spans="41:41">
      <c r="AO307" s="57"/>
    </row>
    <row r="308" spans="41:41">
      <c r="AO308" s="57"/>
    </row>
    <row r="309" spans="41:41">
      <c r="AO309" s="57"/>
    </row>
    <row r="310" spans="41:41">
      <c r="AO310" s="57"/>
    </row>
    <row r="311" spans="41:41">
      <c r="AO311" s="57"/>
    </row>
    <row r="312" spans="41:41">
      <c r="AO312" s="57"/>
    </row>
    <row r="313" spans="41:41">
      <c r="AO313" s="57"/>
    </row>
    <row r="314" spans="41:41">
      <c r="AO314" s="57"/>
    </row>
    <row r="315" spans="41:41">
      <c r="AO315" s="57"/>
    </row>
    <row r="316" spans="41:41">
      <c r="AO316" s="57"/>
    </row>
    <row r="317" spans="41:41">
      <c r="AO317" s="57"/>
    </row>
    <row r="318" spans="41:41">
      <c r="AO318" s="57"/>
    </row>
    <row r="319" spans="41:41">
      <c r="AO319" s="57"/>
    </row>
    <row r="320" spans="41:41">
      <c r="AO320" s="57"/>
    </row>
    <row r="321" spans="41:41">
      <c r="AO321" s="57"/>
    </row>
    <row r="322" spans="41:41">
      <c r="AO322" s="57"/>
    </row>
    <row r="323" spans="41:41">
      <c r="AO323" s="57"/>
    </row>
    <row r="324" spans="41:41">
      <c r="AO324" s="57"/>
    </row>
    <row r="325" spans="41:41">
      <c r="AO325" s="57"/>
    </row>
    <row r="326" spans="41:41">
      <c r="AO326" s="57"/>
    </row>
    <row r="327" spans="41:41">
      <c r="AO327" s="57"/>
    </row>
    <row r="328" spans="41:41">
      <c r="AO328" s="57"/>
    </row>
    <row r="329" spans="41:41">
      <c r="AO329" s="57"/>
    </row>
    <row r="330" spans="41:41">
      <c r="AO330" s="57"/>
    </row>
    <row r="331" spans="41:41">
      <c r="AO331" s="57"/>
    </row>
    <row r="332" spans="41:41">
      <c r="AO332" s="57"/>
    </row>
    <row r="333" spans="41:41">
      <c r="AO333" s="57"/>
    </row>
    <row r="334" spans="41:41">
      <c r="AO334" s="57"/>
    </row>
    <row r="335" spans="41:41">
      <c r="AO335" s="57"/>
    </row>
    <row r="336" spans="41:41">
      <c r="AO336" s="57"/>
    </row>
    <row r="337" spans="41:41">
      <c r="AO337" s="57"/>
    </row>
    <row r="338" spans="41:41">
      <c r="AO338" s="57"/>
    </row>
    <row r="339" spans="41:41">
      <c r="AO339" s="57"/>
    </row>
    <row r="340" spans="41:41">
      <c r="AO340" s="57"/>
    </row>
    <row r="341" spans="41:41">
      <c r="AO341" s="57"/>
    </row>
    <row r="342" spans="41:41">
      <c r="AO342" s="57"/>
    </row>
    <row r="343" spans="41:41">
      <c r="AO343" s="57"/>
    </row>
    <row r="344" spans="41:41">
      <c r="AO344" s="57"/>
    </row>
    <row r="345" spans="41:41">
      <c r="AO345" s="57"/>
    </row>
    <row r="346" spans="41:41">
      <c r="AO346" s="57"/>
    </row>
    <row r="347" spans="41:41">
      <c r="AO347" s="57"/>
    </row>
    <row r="348" spans="41:41">
      <c r="AO348" s="57"/>
    </row>
    <row r="349" spans="41:41">
      <c r="AO349" s="57"/>
    </row>
    <row r="350" spans="41:41">
      <c r="AO350" s="57"/>
    </row>
    <row r="351" spans="41:41">
      <c r="AO351" s="57"/>
    </row>
    <row r="352" spans="41:41">
      <c r="AO352" s="57"/>
    </row>
    <row r="353" spans="41:41">
      <c r="AO353" s="57"/>
    </row>
    <row r="354" spans="41:41">
      <c r="AO354" s="57"/>
    </row>
    <row r="355" spans="41:41">
      <c r="AO355" s="57"/>
    </row>
    <row r="356" spans="41:41">
      <c r="AO356" s="57"/>
    </row>
    <row r="357" spans="41:41">
      <c r="AO357" s="57"/>
    </row>
    <row r="358" spans="41:41">
      <c r="AO358" s="57"/>
    </row>
    <row r="359" spans="41:41">
      <c r="AO359" s="57"/>
    </row>
    <row r="360" spans="41:41">
      <c r="AO360" s="57"/>
    </row>
    <row r="361" spans="41:41">
      <c r="AO361" s="57"/>
    </row>
    <row r="362" spans="41:41">
      <c r="AO362" s="57"/>
    </row>
    <row r="363" spans="41:41">
      <c r="AO363" s="57"/>
    </row>
    <row r="364" spans="41:41">
      <c r="AO364" s="57"/>
    </row>
    <row r="365" spans="41:41">
      <c r="AO365" s="57"/>
    </row>
    <row r="366" spans="41:41">
      <c r="AO366" s="57"/>
    </row>
    <row r="367" spans="41:41">
      <c r="AO367" s="57"/>
    </row>
    <row r="368" spans="41:41">
      <c r="AO368" s="57"/>
    </row>
    <row r="369" spans="41:41">
      <c r="AO369" s="57"/>
    </row>
    <row r="370" spans="41:41">
      <c r="AO370" s="57"/>
    </row>
    <row r="371" spans="41:41">
      <c r="AO371" s="57"/>
    </row>
    <row r="372" spans="41:41">
      <c r="AO372" s="57"/>
    </row>
    <row r="373" spans="41:41">
      <c r="AO373" s="57"/>
    </row>
    <row r="374" spans="41:41">
      <c r="AO374" s="57"/>
    </row>
    <row r="375" spans="41:41">
      <c r="AO375" s="57"/>
    </row>
    <row r="376" spans="41:41">
      <c r="AO376" s="57"/>
    </row>
    <row r="377" spans="41:41">
      <c r="AO377" s="57"/>
    </row>
    <row r="378" spans="41:41">
      <c r="AO378" s="57"/>
    </row>
    <row r="379" spans="41:41">
      <c r="AO379" s="57"/>
    </row>
    <row r="380" spans="41:41">
      <c r="AO380" s="57"/>
    </row>
    <row r="381" spans="41:41">
      <c r="AO381" s="57"/>
    </row>
    <row r="382" spans="41:41">
      <c r="AO382" s="57"/>
    </row>
    <row r="383" spans="41:41">
      <c r="AO383" s="57"/>
    </row>
    <row r="384" spans="41:41">
      <c r="AO384" s="57"/>
    </row>
    <row r="385" spans="41:41">
      <c r="AO385" s="57"/>
    </row>
    <row r="386" spans="41:41">
      <c r="AO386" s="57"/>
    </row>
    <row r="387" spans="41:41">
      <c r="AO387" s="57"/>
    </row>
    <row r="388" spans="41:41">
      <c r="AO388" s="57"/>
    </row>
    <row r="389" spans="41:41">
      <c r="AO389" s="57"/>
    </row>
    <row r="390" spans="41:41">
      <c r="AO390" s="57"/>
    </row>
    <row r="391" spans="41:41">
      <c r="AO391" s="57"/>
    </row>
    <row r="392" spans="41:41">
      <c r="AO392" s="57"/>
    </row>
    <row r="393" spans="41:41">
      <c r="AO393" s="57"/>
    </row>
    <row r="394" spans="41:41">
      <c r="AO394" s="57"/>
    </row>
    <row r="395" spans="41:41">
      <c r="AO395" s="57"/>
    </row>
    <row r="396" spans="41:41">
      <c r="AO396" s="57"/>
    </row>
    <row r="397" spans="41:41">
      <c r="AO397" s="57"/>
    </row>
    <row r="398" spans="41:41">
      <c r="AO398" s="57"/>
    </row>
    <row r="399" spans="41:41">
      <c r="AO399" s="57"/>
    </row>
    <row r="400" spans="41:41">
      <c r="AO400" s="57"/>
    </row>
    <row r="401" spans="41:41">
      <c r="AO401" s="57"/>
    </row>
    <row r="402" spans="41:41">
      <c r="AO402" s="57"/>
    </row>
    <row r="403" spans="41:41">
      <c r="AO403" s="57"/>
    </row>
    <row r="404" spans="41:41">
      <c r="AO404" s="57"/>
    </row>
    <row r="405" spans="41:41">
      <c r="AO405" s="57"/>
    </row>
    <row r="406" spans="41:41">
      <c r="AO406" s="57"/>
    </row>
    <row r="407" spans="41:41">
      <c r="AO407" s="57"/>
    </row>
    <row r="408" spans="41:41">
      <c r="AO408" s="57"/>
    </row>
    <row r="409" spans="41:41">
      <c r="AO409" s="57"/>
    </row>
    <row r="410" spans="41:41">
      <c r="AO410" s="57"/>
    </row>
    <row r="411" spans="41:41">
      <c r="AO411" s="57"/>
    </row>
    <row r="412" spans="41:41">
      <c r="AO412" s="57"/>
    </row>
    <row r="413" spans="41:41">
      <c r="AO413" s="57"/>
    </row>
    <row r="414" spans="41:41">
      <c r="AO414" s="57"/>
    </row>
    <row r="415" spans="41:41">
      <c r="AO415" s="57"/>
    </row>
    <row r="416" spans="41:41">
      <c r="AO416" s="57"/>
    </row>
    <row r="417" spans="41:41">
      <c r="AO417" s="57"/>
    </row>
    <row r="418" spans="41:41">
      <c r="AO418" s="57"/>
    </row>
    <row r="419" spans="41:41">
      <c r="AO419" s="57"/>
    </row>
    <row r="420" spans="41:41">
      <c r="AO420" s="57"/>
    </row>
    <row r="421" spans="41:41">
      <c r="AO421" s="57"/>
    </row>
    <row r="422" spans="41:41">
      <c r="AO422" s="57"/>
    </row>
    <row r="423" spans="41:41">
      <c r="AO423" s="57"/>
    </row>
    <row r="424" spans="41:41">
      <c r="AO424" s="57"/>
    </row>
    <row r="425" spans="41:41">
      <c r="AO425" s="57"/>
    </row>
    <row r="426" spans="41:41">
      <c r="AO426" s="57"/>
    </row>
    <row r="427" spans="41:41">
      <c r="AO427" s="57"/>
    </row>
    <row r="428" spans="41:41">
      <c r="AO428" s="57"/>
    </row>
    <row r="429" spans="41:41">
      <c r="AO429" s="57"/>
    </row>
    <row r="430" spans="41:41">
      <c r="AO430" s="57"/>
    </row>
    <row r="431" spans="41:41">
      <c r="AO431" s="57"/>
    </row>
    <row r="432" spans="41:41">
      <c r="AO432" s="57"/>
    </row>
    <row r="433" spans="41:41">
      <c r="AO433" s="57"/>
    </row>
    <row r="434" spans="41:41">
      <c r="AO434" s="57"/>
    </row>
    <row r="435" spans="41:41">
      <c r="AO435" s="57"/>
    </row>
    <row r="436" spans="41:41">
      <c r="AO436" s="57"/>
    </row>
    <row r="437" spans="41:41">
      <c r="AO437" s="57"/>
    </row>
    <row r="438" spans="41:41">
      <c r="AO438" s="57"/>
    </row>
    <row r="439" spans="41:41">
      <c r="AO439" s="57"/>
    </row>
    <row r="440" spans="41:41">
      <c r="AO440" s="57"/>
    </row>
    <row r="441" spans="41:41">
      <c r="AO441" s="57"/>
    </row>
    <row r="442" spans="41:41">
      <c r="AO442" s="57"/>
    </row>
    <row r="443" spans="41:41">
      <c r="AO443" s="57"/>
    </row>
    <row r="444" spans="41:41">
      <c r="AO444" s="57"/>
    </row>
    <row r="445" spans="41:41">
      <c r="AO445" s="57"/>
    </row>
    <row r="446" spans="41:41">
      <c r="AO446" s="57"/>
    </row>
    <row r="447" spans="41:41">
      <c r="AO447" s="57"/>
    </row>
    <row r="448" spans="41:41">
      <c r="AO448" s="57"/>
    </row>
    <row r="449" spans="41:41">
      <c r="AO449" s="57"/>
    </row>
    <row r="450" spans="41:41">
      <c r="AO450" s="57"/>
    </row>
    <row r="451" spans="41:41">
      <c r="AO451" s="57"/>
    </row>
    <row r="452" spans="41:41">
      <c r="AO452" s="57"/>
    </row>
    <row r="453" spans="41:41">
      <c r="AO453" s="57"/>
    </row>
    <row r="454" spans="41:41">
      <c r="AO454" s="57"/>
    </row>
    <row r="455" spans="41:41">
      <c r="AO455" s="57"/>
    </row>
    <row r="456" spans="41:41">
      <c r="AO456" s="57"/>
    </row>
    <row r="457" spans="41:41">
      <c r="AO457" s="57"/>
    </row>
    <row r="458" spans="41:41">
      <c r="AO458" s="57"/>
    </row>
    <row r="459" spans="41:41">
      <c r="AO459" s="57"/>
    </row>
    <row r="460" spans="41:41">
      <c r="AO460" s="57"/>
    </row>
    <row r="461" spans="41:41">
      <c r="AO461" s="57"/>
    </row>
    <row r="462" spans="41:41">
      <c r="AO462" s="57"/>
    </row>
    <row r="463" spans="41:41">
      <c r="AO463" s="57"/>
    </row>
    <row r="464" spans="41:41">
      <c r="AO464" s="57"/>
    </row>
    <row r="465" spans="41:41">
      <c r="AO465" s="57"/>
    </row>
    <row r="466" spans="41:41">
      <c r="AO466" s="57"/>
    </row>
    <row r="467" spans="41:41">
      <c r="AO467" s="57"/>
    </row>
    <row r="468" spans="41:41">
      <c r="AO468" s="57"/>
    </row>
    <row r="469" spans="41:41">
      <c r="AO469" s="57"/>
    </row>
    <row r="470" spans="41:41">
      <c r="AO470" s="57"/>
    </row>
    <row r="471" spans="41:41">
      <c r="AO471" s="57"/>
    </row>
    <row r="472" spans="41:41">
      <c r="AO472" s="57"/>
    </row>
    <row r="473" spans="41:41">
      <c r="AO473" s="57"/>
    </row>
    <row r="474" spans="41:41">
      <c r="AO474" s="57"/>
    </row>
    <row r="475" spans="41:41">
      <c r="AO475" s="57"/>
    </row>
    <row r="476" spans="41:41">
      <c r="AO476" s="57"/>
    </row>
    <row r="477" spans="41:41">
      <c r="AO477" s="57"/>
    </row>
    <row r="478" spans="41:41">
      <c r="AO478" s="57"/>
    </row>
    <row r="479" spans="41:41">
      <c r="AO479" s="57"/>
    </row>
    <row r="480" spans="41:41">
      <c r="AO480" s="57"/>
    </row>
    <row r="481" spans="41:41">
      <c r="AO481" s="57"/>
    </row>
    <row r="482" spans="41:41">
      <c r="AO482" s="57"/>
    </row>
    <row r="483" spans="41:41">
      <c r="AO483" s="57"/>
    </row>
    <row r="484" spans="41:41">
      <c r="AO484" s="57"/>
    </row>
    <row r="485" spans="41:41">
      <c r="AO485" s="57"/>
    </row>
    <row r="486" spans="41:41">
      <c r="AO486" s="57"/>
    </row>
    <row r="487" spans="41:41">
      <c r="AO487" s="57"/>
    </row>
    <row r="488" spans="41:41">
      <c r="AO488" s="57"/>
    </row>
    <row r="489" spans="41:41">
      <c r="AO489" s="57"/>
    </row>
    <row r="490" spans="41:41">
      <c r="AO490" s="57"/>
    </row>
    <row r="491" spans="41:41">
      <c r="AO491" s="57"/>
    </row>
    <row r="492" spans="41:41">
      <c r="AO492" s="57"/>
    </row>
    <row r="493" spans="41:41">
      <c r="AO493" s="57"/>
    </row>
    <row r="494" spans="41:41">
      <c r="AO494" s="57"/>
    </row>
    <row r="495" spans="41:41">
      <c r="AO495" s="57"/>
    </row>
    <row r="496" spans="41:41">
      <c r="AO496" s="57"/>
    </row>
    <row r="497" spans="41:41">
      <c r="AO497" s="57"/>
    </row>
    <row r="498" spans="41:41">
      <c r="AO498" s="57"/>
    </row>
    <row r="499" spans="41:41">
      <c r="AO499" s="57"/>
    </row>
    <row r="500" spans="41:41">
      <c r="AO500" s="57"/>
    </row>
    <row r="501" spans="41:41">
      <c r="AO501" s="57"/>
    </row>
    <row r="502" spans="41:41">
      <c r="AO502" s="57"/>
    </row>
    <row r="503" spans="41:41">
      <c r="AO503" s="57"/>
    </row>
    <row r="504" spans="41:41">
      <c r="AO504" s="57"/>
    </row>
    <row r="505" spans="41:41">
      <c r="AO505" s="57"/>
    </row>
    <row r="506" spans="41:41">
      <c r="AO506" s="57"/>
    </row>
    <row r="507" spans="41:41">
      <c r="AO507" s="57"/>
    </row>
    <row r="508" spans="41:41">
      <c r="AO508" s="57"/>
    </row>
    <row r="509" spans="41:41">
      <c r="AO509" s="57"/>
    </row>
    <row r="510" spans="41:41">
      <c r="AO510" s="57"/>
    </row>
    <row r="511" spans="41:41">
      <c r="AO511" s="57"/>
    </row>
    <row r="512" spans="41:41">
      <c r="AO512" s="57"/>
    </row>
    <row r="513" spans="41:41">
      <c r="AO513" s="57"/>
    </row>
    <row r="514" spans="41:41">
      <c r="AO514" s="57"/>
    </row>
    <row r="515" spans="41:41">
      <c r="AO515" s="57"/>
    </row>
    <row r="516" spans="41:41">
      <c r="AO516" s="57"/>
    </row>
    <row r="517" spans="41:41">
      <c r="AO517" s="57"/>
    </row>
    <row r="518" spans="41:41">
      <c r="AO518" s="57"/>
    </row>
    <row r="519" spans="41:41">
      <c r="AO519" s="57"/>
    </row>
    <row r="520" spans="41:41">
      <c r="AO520" s="57"/>
    </row>
    <row r="521" spans="41:41">
      <c r="AO521" s="57"/>
    </row>
    <row r="522" spans="41:41">
      <c r="AO522" s="57"/>
    </row>
    <row r="523" spans="41:41">
      <c r="AO523" s="57"/>
    </row>
    <row r="524" spans="41:41">
      <c r="AO524" s="57"/>
    </row>
    <row r="525" spans="41:41">
      <c r="AO525" s="57"/>
    </row>
    <row r="526" spans="41:41">
      <c r="AO526" s="57"/>
    </row>
    <row r="527" spans="41:41">
      <c r="AO527" s="57"/>
    </row>
    <row r="528" spans="41:41">
      <c r="AO528" s="57"/>
    </row>
    <row r="529" spans="41:41">
      <c r="AO529" s="57"/>
    </row>
    <row r="530" spans="41:41">
      <c r="AO530" s="57"/>
    </row>
    <row r="531" spans="41:41">
      <c r="AO531" s="57"/>
    </row>
    <row r="532" spans="41:41">
      <c r="AO532" s="57"/>
    </row>
    <row r="533" spans="41:41">
      <c r="AO533" s="57"/>
    </row>
    <row r="534" spans="41:41">
      <c r="AO534" s="57"/>
    </row>
    <row r="535" spans="41:41">
      <c r="AO535" s="57"/>
    </row>
    <row r="536" spans="41:41">
      <c r="AO536" s="57"/>
    </row>
    <row r="537" spans="41:41">
      <c r="AO537" s="57"/>
    </row>
    <row r="538" spans="41:41">
      <c r="AO538" s="57"/>
    </row>
    <row r="539" spans="41:41">
      <c r="AO539" s="57"/>
    </row>
    <row r="540" spans="41:41">
      <c r="AO540" s="57"/>
    </row>
    <row r="541" spans="41:41">
      <c r="AO541" s="57"/>
    </row>
    <row r="542" spans="41:41">
      <c r="AO542" s="57"/>
    </row>
    <row r="543" spans="41:41">
      <c r="AO543" s="57"/>
    </row>
    <row r="544" spans="41:41">
      <c r="AO544" s="57"/>
    </row>
    <row r="545" spans="41:41">
      <c r="AO545" s="57"/>
    </row>
    <row r="546" spans="41:41">
      <c r="AO546" s="57"/>
    </row>
    <row r="547" spans="41:41">
      <c r="AO547" s="57"/>
    </row>
    <row r="548" spans="41:41">
      <c r="AO548" s="57"/>
    </row>
    <row r="549" spans="41:41">
      <c r="AO549" s="57"/>
    </row>
    <row r="550" spans="41:41">
      <c r="AO550" s="57"/>
    </row>
    <row r="551" spans="41:41">
      <c r="AO551" s="57"/>
    </row>
    <row r="552" spans="41:41">
      <c r="AO552" s="57"/>
    </row>
    <row r="553" spans="41:41">
      <c r="AO553" s="57"/>
    </row>
    <row r="554" spans="41:41">
      <c r="AO554" s="57"/>
    </row>
    <row r="555" spans="41:41">
      <c r="AO555" s="57"/>
    </row>
    <row r="556" spans="41:41">
      <c r="AO556" s="57"/>
    </row>
    <row r="557" spans="41:41">
      <c r="AO557" s="57"/>
    </row>
    <row r="558" spans="41:41">
      <c r="AO558" s="57"/>
    </row>
    <row r="559" spans="41:41">
      <c r="AO559" s="57"/>
    </row>
    <row r="560" spans="41:41">
      <c r="AO560" s="57"/>
    </row>
    <row r="561" spans="41:41">
      <c r="AO561" s="57"/>
    </row>
    <row r="562" spans="41:41">
      <c r="AO562" s="57"/>
    </row>
    <row r="563" spans="41:41">
      <c r="AO563" s="57"/>
    </row>
    <row r="564" spans="41:41">
      <c r="AO564" s="57"/>
    </row>
    <row r="565" spans="41:41">
      <c r="AO565" s="57"/>
    </row>
    <row r="566" spans="41:41">
      <c r="AO566" s="57"/>
    </row>
    <row r="567" spans="41:41">
      <c r="AO567" s="57"/>
    </row>
    <row r="568" spans="41:41">
      <c r="AO568" s="57"/>
    </row>
    <row r="569" spans="41:41">
      <c r="AO569" s="57"/>
    </row>
    <row r="570" spans="41:41">
      <c r="AO570" s="57"/>
    </row>
    <row r="571" spans="41:41">
      <c r="AO571" s="57"/>
    </row>
    <row r="572" spans="41:41">
      <c r="AO572" s="57"/>
    </row>
    <row r="573" spans="41:41">
      <c r="AO573" s="57"/>
    </row>
    <row r="574" spans="41:41">
      <c r="AO574" s="57"/>
    </row>
    <row r="575" spans="41:41">
      <c r="AO575" s="57"/>
    </row>
    <row r="576" spans="41:41">
      <c r="AO576" s="57"/>
    </row>
    <row r="577" spans="41:41">
      <c r="AO577" s="57"/>
    </row>
    <row r="578" spans="41:41">
      <c r="AO578" s="57"/>
    </row>
    <row r="579" spans="41:41">
      <c r="AO579" s="57"/>
    </row>
    <row r="580" spans="41:41">
      <c r="AO580" s="57"/>
    </row>
    <row r="581" spans="41:41">
      <c r="AO581" s="57"/>
    </row>
    <row r="582" spans="41:41">
      <c r="AO582" s="57"/>
    </row>
    <row r="583" spans="41:41">
      <c r="AO583" s="57"/>
    </row>
    <row r="584" spans="41:41">
      <c r="AO584" s="57"/>
    </row>
    <row r="585" spans="41:41">
      <c r="AO585" s="57"/>
    </row>
    <row r="586" spans="41:41">
      <c r="AO586" s="57"/>
    </row>
    <row r="587" spans="41:41">
      <c r="AO587" s="57"/>
    </row>
    <row r="588" spans="41:41">
      <c r="AO588" s="57"/>
    </row>
    <row r="589" spans="41:41">
      <c r="AO589" s="57"/>
    </row>
    <row r="590" spans="41:41">
      <c r="AO590" s="57"/>
    </row>
    <row r="591" spans="41:41">
      <c r="AO591" s="57"/>
    </row>
    <row r="592" spans="41:41">
      <c r="AO592" s="57"/>
    </row>
    <row r="593" spans="41:41">
      <c r="AO593" s="57"/>
    </row>
    <row r="594" spans="41:41">
      <c r="AO594" s="57"/>
    </row>
    <row r="595" spans="41:41">
      <c r="AO595" s="57"/>
    </row>
    <row r="596" spans="41:41">
      <c r="AO596" s="57"/>
    </row>
    <row r="597" spans="41:41">
      <c r="AO597" s="57"/>
    </row>
    <row r="598" spans="41:41">
      <c r="AO598" s="57"/>
    </row>
    <row r="599" spans="41:41">
      <c r="AO599" s="57"/>
    </row>
    <row r="600" spans="41:41">
      <c r="AO600" s="57"/>
    </row>
    <row r="601" spans="41:41">
      <c r="AO601" s="57"/>
    </row>
    <row r="602" spans="41:41">
      <c r="AO602" s="57"/>
    </row>
    <row r="603" spans="41:41">
      <c r="AO603" s="57"/>
    </row>
    <row r="604" spans="41:41">
      <c r="AO604" s="57"/>
    </row>
    <row r="605" spans="41:41">
      <c r="AO605" s="57"/>
    </row>
    <row r="606" spans="41:41">
      <c r="AO606" s="57"/>
    </row>
    <row r="607" spans="41:41">
      <c r="AO607" s="57"/>
    </row>
    <row r="608" spans="41:41">
      <c r="AO608" s="57"/>
    </row>
    <row r="609" spans="41:41">
      <c r="AO609" s="57"/>
    </row>
    <row r="610" spans="41:41">
      <c r="AO610" s="57"/>
    </row>
    <row r="611" spans="41:41">
      <c r="AO611" s="57"/>
    </row>
    <row r="612" spans="41:41">
      <c r="AO612" s="57"/>
    </row>
    <row r="613" spans="41:41">
      <c r="AO613" s="57"/>
    </row>
    <row r="614" spans="41:41">
      <c r="AO614" s="57"/>
    </row>
    <row r="615" spans="41:41">
      <c r="AO615" s="57"/>
    </row>
    <row r="616" spans="41:41">
      <c r="AO616" s="57"/>
    </row>
    <row r="617" spans="41:41">
      <c r="AO617" s="57"/>
    </row>
    <row r="618" spans="41:41">
      <c r="AO618" s="57"/>
    </row>
    <row r="619" spans="41:41">
      <c r="AO619" s="57"/>
    </row>
    <row r="620" spans="41:41">
      <c r="AO620" s="57"/>
    </row>
    <row r="621" spans="41:41">
      <c r="AO621" s="57"/>
    </row>
    <row r="622" spans="41:41">
      <c r="AO622" s="57"/>
    </row>
    <row r="623" spans="41:41">
      <c r="AO623" s="57"/>
    </row>
    <row r="624" spans="41:41">
      <c r="AO624" s="57"/>
    </row>
    <row r="625" spans="41:41">
      <c r="AO625" s="57"/>
    </row>
    <row r="626" spans="41:41">
      <c r="AO626" s="57"/>
    </row>
    <row r="627" spans="41:41">
      <c r="AO627" s="57"/>
    </row>
    <row r="628" spans="41:41">
      <c r="AO628" s="57"/>
    </row>
    <row r="629" spans="41:41">
      <c r="AO629" s="57"/>
    </row>
    <row r="630" spans="41:41">
      <c r="AO630" s="57"/>
    </row>
    <row r="631" spans="41:41">
      <c r="AO631" s="57"/>
    </row>
    <row r="632" spans="41:41">
      <c r="AO632" s="57"/>
    </row>
    <row r="633" spans="41:41">
      <c r="AO633" s="57"/>
    </row>
    <row r="634" spans="41:41">
      <c r="AO634" s="57"/>
    </row>
    <row r="635" spans="41:41">
      <c r="AO635" s="57"/>
    </row>
    <row r="636" spans="41:41">
      <c r="AO636" s="57"/>
    </row>
    <row r="637" spans="41:41">
      <c r="AO637" s="57"/>
    </row>
    <row r="638" spans="41:41">
      <c r="AO638" s="57"/>
    </row>
    <row r="639" spans="41:41">
      <c r="AO639" s="57"/>
    </row>
    <row r="640" spans="41:41">
      <c r="AO640" s="57"/>
    </row>
    <row r="641" spans="41:41">
      <c r="AO641" s="57"/>
    </row>
    <row r="642" spans="41:41">
      <c r="AO642" s="57"/>
    </row>
    <row r="643" spans="41:41">
      <c r="AO643" s="57"/>
    </row>
    <row r="644" spans="41:41">
      <c r="AO644" s="57"/>
    </row>
    <row r="645" spans="41:41">
      <c r="AO645" s="57"/>
    </row>
    <row r="646" spans="41:41">
      <c r="AO646" s="57"/>
    </row>
    <row r="647" spans="41:41">
      <c r="AO647" s="57"/>
    </row>
    <row r="648" spans="41:41">
      <c r="AO648" s="57"/>
    </row>
    <row r="649" spans="41:41">
      <c r="AO649" s="57"/>
    </row>
    <row r="650" spans="41:41">
      <c r="AO650" s="57"/>
    </row>
    <row r="651" spans="41:41">
      <c r="AO651" s="57"/>
    </row>
    <row r="652" spans="41:41">
      <c r="AO652" s="57"/>
    </row>
    <row r="653" spans="41:41">
      <c r="AO653" s="57"/>
    </row>
    <row r="654" spans="41:41">
      <c r="AO654" s="57"/>
    </row>
    <row r="655" spans="41:41">
      <c r="AO655" s="57"/>
    </row>
    <row r="656" spans="41:41">
      <c r="AO656" s="57"/>
    </row>
    <row r="657" spans="41:41">
      <c r="AO657" s="57"/>
    </row>
    <row r="658" spans="41:41">
      <c r="AO658" s="57"/>
    </row>
    <row r="659" spans="41:41">
      <c r="AO659" s="57"/>
    </row>
    <row r="660" spans="41:41">
      <c r="AO660" s="57"/>
    </row>
    <row r="661" spans="41:41">
      <c r="AO661" s="57"/>
    </row>
    <row r="662" spans="41:41">
      <c r="AO662" s="57"/>
    </row>
    <row r="663" spans="41:41">
      <c r="AO663" s="57"/>
    </row>
    <row r="664" spans="41:41">
      <c r="AO664" s="57"/>
    </row>
    <row r="665" spans="41:41">
      <c r="AO665" s="57"/>
    </row>
    <row r="666" spans="41:41">
      <c r="AO666" s="57"/>
    </row>
    <row r="667" spans="41:41">
      <c r="AO667" s="57"/>
    </row>
    <row r="668" spans="41:41">
      <c r="AO668" s="57"/>
    </row>
    <row r="669" spans="41:41">
      <c r="AO669" s="57"/>
    </row>
    <row r="670" spans="41:41">
      <c r="AO670" s="57"/>
    </row>
    <row r="671" spans="41:41">
      <c r="AO671" s="57"/>
    </row>
    <row r="672" spans="41:41">
      <c r="AO672" s="57"/>
    </row>
    <row r="673" spans="41:41">
      <c r="AO673" s="57"/>
    </row>
    <row r="674" spans="41:41">
      <c r="AO674" s="57"/>
    </row>
    <row r="675" spans="41:41">
      <c r="AO675" s="57"/>
    </row>
    <row r="676" spans="41:41">
      <c r="AO676" s="57"/>
    </row>
    <row r="677" spans="41:41">
      <c r="AO677" s="57"/>
    </row>
    <row r="678" spans="41:41">
      <c r="AO678" s="57"/>
    </row>
    <row r="679" spans="41:41">
      <c r="AO679" s="57"/>
    </row>
    <row r="680" spans="41:41">
      <c r="AO680" s="57"/>
    </row>
    <row r="681" spans="41:41">
      <c r="AO681" s="57"/>
    </row>
    <row r="682" spans="41:41">
      <c r="AO682" s="57"/>
    </row>
    <row r="683" spans="41:41">
      <c r="AO683" s="57"/>
    </row>
    <row r="684" spans="41:41">
      <c r="AO684" s="57"/>
    </row>
    <row r="685" spans="41:41">
      <c r="AO685" s="57"/>
    </row>
    <row r="686" spans="41:41">
      <c r="AO686" s="57"/>
    </row>
    <row r="687" spans="41:41">
      <c r="AO687" s="57"/>
    </row>
    <row r="688" spans="41:41">
      <c r="AO688" s="57"/>
    </row>
    <row r="689" spans="41:41">
      <c r="AO689" s="57"/>
    </row>
    <row r="690" spans="41:41">
      <c r="AO690" s="57"/>
    </row>
    <row r="691" spans="41:41">
      <c r="AO691" s="57"/>
    </row>
    <row r="692" spans="41:41">
      <c r="AO692" s="57"/>
    </row>
    <row r="693" spans="41:41">
      <c r="AO693" s="57"/>
    </row>
    <row r="694" spans="41:41">
      <c r="AO694" s="57"/>
    </row>
    <row r="695" spans="41:41">
      <c r="AO695" s="57"/>
    </row>
    <row r="696" spans="41:41">
      <c r="AO696" s="57"/>
    </row>
    <row r="697" spans="41:41">
      <c r="AO697" s="57"/>
    </row>
    <row r="698" spans="41:41">
      <c r="AO698" s="57"/>
    </row>
    <row r="699" spans="41:41">
      <c r="AO699" s="57"/>
    </row>
    <row r="700" spans="41:41">
      <c r="AO700" s="57"/>
    </row>
    <row r="701" spans="41:41">
      <c r="AO701" s="57"/>
    </row>
    <row r="702" spans="41:41">
      <c r="AO702" s="57"/>
    </row>
    <row r="703" spans="41:41">
      <c r="AO703" s="57"/>
    </row>
    <row r="704" spans="41:41">
      <c r="AO704" s="57"/>
    </row>
    <row r="705" spans="41:41">
      <c r="AO705" s="57"/>
    </row>
    <row r="706" spans="41:41">
      <c r="AO706" s="57"/>
    </row>
    <row r="707" spans="41:41">
      <c r="AO707" s="57"/>
    </row>
    <row r="708" spans="41:41">
      <c r="AO708" s="57"/>
    </row>
    <row r="709" spans="41:41">
      <c r="AO709" s="57"/>
    </row>
    <row r="710" spans="41:41">
      <c r="AO710" s="57"/>
    </row>
    <row r="711" spans="41:41">
      <c r="AO711" s="57"/>
    </row>
    <row r="712" spans="41:41">
      <c r="AO712" s="57"/>
    </row>
    <row r="713" spans="41:41">
      <c r="AO713" s="57"/>
    </row>
    <row r="714" spans="41:41">
      <c r="AO714" s="57"/>
    </row>
    <row r="715" spans="41:41">
      <c r="AO715" s="57"/>
    </row>
    <row r="716" spans="41:41">
      <c r="AO716" s="57"/>
    </row>
    <row r="717" spans="41:41">
      <c r="AO717" s="57"/>
    </row>
    <row r="718" spans="41:41">
      <c r="AO718" s="57"/>
    </row>
    <row r="719" spans="41:41">
      <c r="AO719" s="57"/>
    </row>
    <row r="720" spans="41:41">
      <c r="AO720" s="57"/>
    </row>
    <row r="721" spans="41:41">
      <c r="AO721" s="57"/>
    </row>
    <row r="722" spans="41:41">
      <c r="AO722" s="57"/>
    </row>
    <row r="723" spans="41:41">
      <c r="AO723" s="57"/>
    </row>
    <row r="724" spans="41:41">
      <c r="AO724" s="57"/>
    </row>
    <row r="725" spans="41:41">
      <c r="AO725" s="57"/>
    </row>
    <row r="726" spans="41:41">
      <c r="AO726" s="57"/>
    </row>
    <row r="727" spans="41:41">
      <c r="AO727" s="57"/>
    </row>
    <row r="728" spans="41:41">
      <c r="AO728" s="57"/>
    </row>
    <row r="729" spans="41:41">
      <c r="AO729" s="57"/>
    </row>
    <row r="730" spans="41:41">
      <c r="AO730" s="57"/>
    </row>
    <row r="731" spans="41:41">
      <c r="AO731" s="57"/>
    </row>
    <row r="732" spans="41:41">
      <c r="AO732" s="57"/>
    </row>
    <row r="733" spans="41:41">
      <c r="AO733" s="57"/>
    </row>
    <row r="734" spans="41:41">
      <c r="AO734" s="57"/>
    </row>
    <row r="735" spans="41:41">
      <c r="AO735" s="57"/>
    </row>
    <row r="736" spans="41:41">
      <c r="AO736" s="57"/>
    </row>
    <row r="737" spans="41:41">
      <c r="AO737" s="57"/>
    </row>
    <row r="738" spans="41:41">
      <c r="AO738" s="57"/>
    </row>
    <row r="739" spans="41:41">
      <c r="AO739" s="57"/>
    </row>
    <row r="740" spans="41:41">
      <c r="AO740" s="57"/>
    </row>
    <row r="741" spans="41:41">
      <c r="AO741" s="57"/>
    </row>
    <row r="742" spans="41:41">
      <c r="AO742" s="57"/>
    </row>
    <row r="743" spans="41:41">
      <c r="AO743" s="57"/>
    </row>
    <row r="744" spans="41:41">
      <c r="AO744" s="57"/>
    </row>
    <row r="745" spans="41:41">
      <c r="AO745" s="57"/>
    </row>
    <row r="746" spans="41:41">
      <c r="AO746" s="57"/>
    </row>
    <row r="747" spans="41:41">
      <c r="AO747" s="57"/>
    </row>
    <row r="748" spans="41:41">
      <c r="AO748" s="57"/>
    </row>
    <row r="749" spans="41:41">
      <c r="AO749" s="57"/>
    </row>
    <row r="750" spans="41:41">
      <c r="AO750" s="57"/>
    </row>
    <row r="751" spans="41:41">
      <c r="AO751" s="57"/>
    </row>
    <row r="752" spans="41:41">
      <c r="AO752" s="57"/>
    </row>
    <row r="753" spans="41:41">
      <c r="AO753" s="57"/>
    </row>
    <row r="754" spans="41:41">
      <c r="AO754" s="57"/>
    </row>
    <row r="755" spans="41:41">
      <c r="AO755" s="57"/>
    </row>
    <row r="756" spans="41:41">
      <c r="AO756" s="57"/>
    </row>
    <row r="757" spans="41:41">
      <c r="AO757" s="57"/>
    </row>
    <row r="758" spans="41:41">
      <c r="AO758" s="57"/>
    </row>
    <row r="759" spans="41:41">
      <c r="AO759" s="57"/>
    </row>
    <row r="760" spans="41:41">
      <c r="AO760" s="57"/>
    </row>
    <row r="761" spans="41:41">
      <c r="AO761" s="57"/>
    </row>
    <row r="762" spans="41:41">
      <c r="AO762" s="57"/>
    </row>
    <row r="763" spans="41:41">
      <c r="AO763" s="57"/>
    </row>
    <row r="764" spans="41:41">
      <c r="AO764" s="57"/>
    </row>
    <row r="765" spans="41:41">
      <c r="AO765" s="57"/>
    </row>
    <row r="766" spans="41:41">
      <c r="AO766" s="57"/>
    </row>
    <row r="767" spans="41:41">
      <c r="AO767" s="57"/>
    </row>
    <row r="768" spans="41:41">
      <c r="AO768" s="57"/>
    </row>
    <row r="769" spans="41:41">
      <c r="AO769" s="57"/>
    </row>
    <row r="770" spans="41:41">
      <c r="AO770" s="57"/>
    </row>
    <row r="771" spans="41:41">
      <c r="AO771" s="57"/>
    </row>
    <row r="772" spans="41:41">
      <c r="AO772" s="57"/>
    </row>
    <row r="773" spans="41:41">
      <c r="AO773" s="57"/>
    </row>
    <row r="774" spans="41:41">
      <c r="AO774" s="57"/>
    </row>
    <row r="775" spans="41:41">
      <c r="AO775" s="57"/>
    </row>
    <row r="776" spans="41:41">
      <c r="AO776" s="57"/>
    </row>
    <row r="777" spans="41:41">
      <c r="AO777" s="57"/>
    </row>
    <row r="778" spans="41:41">
      <c r="AO778" s="57"/>
    </row>
    <row r="779" spans="41:41">
      <c r="AO779" s="57"/>
    </row>
    <row r="780" spans="41:41">
      <c r="AO780" s="57"/>
    </row>
    <row r="781" spans="41:41">
      <c r="AO781" s="57"/>
    </row>
    <row r="782" spans="41:41">
      <c r="AO782" s="57"/>
    </row>
    <row r="783" spans="41:41">
      <c r="AO783" s="57"/>
    </row>
    <row r="784" spans="41:41">
      <c r="AO784" s="57"/>
    </row>
    <row r="785" spans="41:41">
      <c r="AO785" s="57"/>
    </row>
    <row r="786" spans="41:41">
      <c r="AO786" s="57"/>
    </row>
    <row r="787" spans="41:41">
      <c r="AO787" s="57"/>
    </row>
    <row r="788" spans="41:41">
      <c r="AO788" s="57"/>
    </row>
    <row r="789" spans="41:41">
      <c r="AO789" s="57"/>
    </row>
    <row r="790" spans="41:41">
      <c r="AO790" s="57"/>
    </row>
    <row r="791" spans="41:41">
      <c r="AO791" s="57"/>
    </row>
    <row r="792" spans="41:41">
      <c r="AO792" s="57"/>
    </row>
    <row r="793" spans="41:41">
      <c r="AO793" s="57"/>
    </row>
    <row r="794" spans="41:41">
      <c r="AO794" s="57"/>
    </row>
    <row r="795" spans="41:41">
      <c r="AO795" s="57"/>
    </row>
    <row r="796" spans="41:41">
      <c r="AO796" s="57"/>
    </row>
    <row r="797" spans="41:41">
      <c r="AO797" s="57"/>
    </row>
    <row r="798" spans="41:41">
      <c r="AO798" s="57"/>
    </row>
    <row r="799" spans="41:41">
      <c r="AO799" s="57"/>
    </row>
    <row r="800" spans="41:41">
      <c r="AO800" s="57"/>
    </row>
    <row r="801" spans="41:41">
      <c r="AO801" s="57"/>
    </row>
    <row r="802" spans="41:41">
      <c r="AO802" s="57"/>
    </row>
    <row r="803" spans="41:41">
      <c r="AO803" s="57"/>
    </row>
    <row r="804" spans="41:41">
      <c r="AO804" s="57"/>
    </row>
    <row r="805" spans="41:41">
      <c r="AO805" s="57"/>
    </row>
    <row r="806" spans="41:41">
      <c r="AO806" s="57"/>
    </row>
    <row r="807" spans="41:41">
      <c r="AO807" s="57"/>
    </row>
    <row r="808" spans="41:41">
      <c r="AO808" s="57"/>
    </row>
    <row r="809" spans="41:41">
      <c r="AO809" s="57"/>
    </row>
    <row r="810" spans="41:41">
      <c r="AO810" s="57"/>
    </row>
    <row r="811" spans="41:41">
      <c r="AO811" s="57"/>
    </row>
    <row r="812" spans="41:41">
      <c r="AO812" s="57"/>
    </row>
    <row r="813" spans="41:41">
      <c r="AO813" s="57"/>
    </row>
    <row r="814" spans="41:41">
      <c r="AO814" s="57"/>
    </row>
    <row r="815" spans="41:41">
      <c r="AO815" s="57"/>
    </row>
    <row r="816" spans="41:41">
      <c r="AO816" s="57"/>
    </row>
    <row r="817" spans="41:41">
      <c r="AO817" s="57"/>
    </row>
    <row r="818" spans="41:41">
      <c r="AO818" s="57"/>
    </row>
    <row r="819" spans="41:41">
      <c r="AO819" s="57"/>
    </row>
    <row r="820" spans="41:41">
      <c r="AO820" s="57"/>
    </row>
    <row r="821" spans="41:41">
      <c r="AO821" s="57"/>
    </row>
    <row r="822" spans="41:41">
      <c r="AO822" s="57"/>
    </row>
    <row r="823" spans="41:41">
      <c r="AO823" s="57"/>
    </row>
    <row r="824" spans="41:41">
      <c r="AO824" s="57"/>
    </row>
    <row r="825" spans="41:41">
      <c r="AO825" s="57"/>
    </row>
    <row r="826" spans="41:41">
      <c r="AO826" s="57"/>
    </row>
    <row r="827" spans="41:41">
      <c r="AO827" s="57"/>
    </row>
    <row r="828" spans="41:41">
      <c r="AO828" s="57"/>
    </row>
    <row r="829" spans="41:41">
      <c r="AO829" s="57"/>
    </row>
    <row r="830" spans="41:41">
      <c r="AO830" s="57"/>
    </row>
    <row r="831" spans="41:41">
      <c r="AO831" s="57"/>
    </row>
    <row r="832" spans="41:41">
      <c r="AO832" s="57"/>
    </row>
    <row r="833" spans="41:41">
      <c r="AO833" s="57"/>
    </row>
    <row r="834" spans="41:41">
      <c r="AO834" s="57"/>
    </row>
    <row r="835" spans="41:41">
      <c r="AO835" s="57"/>
    </row>
    <row r="836" spans="41:41">
      <c r="AO836" s="57"/>
    </row>
    <row r="837" spans="41:41">
      <c r="AO837" s="57"/>
    </row>
    <row r="838" spans="41:41">
      <c r="AO838" s="57"/>
    </row>
    <row r="839" spans="41:41">
      <c r="AO839" s="57"/>
    </row>
    <row r="840" spans="41:41">
      <c r="AO840" s="57"/>
    </row>
    <row r="841" spans="41:41">
      <c r="AO841" s="57"/>
    </row>
    <row r="842" spans="41:41">
      <c r="AO842" s="57"/>
    </row>
    <row r="843" spans="41:41">
      <c r="AO843" s="57"/>
    </row>
    <row r="844" spans="41:41">
      <c r="AO844" s="57"/>
    </row>
    <row r="845" spans="41:41">
      <c r="AO845" s="57"/>
    </row>
    <row r="846" spans="41:41">
      <c r="AO846" s="57"/>
    </row>
    <row r="847" spans="41:41">
      <c r="AO847" s="57"/>
    </row>
    <row r="848" spans="41:41">
      <c r="AO848" s="57"/>
    </row>
    <row r="849" spans="41:41">
      <c r="AO849" s="57"/>
    </row>
    <row r="850" spans="41:41">
      <c r="AO850" s="57"/>
    </row>
    <row r="851" spans="41:41">
      <c r="AO851" s="57"/>
    </row>
    <row r="852" spans="41:41">
      <c r="AO852" s="57"/>
    </row>
    <row r="853" spans="41:41">
      <c r="AO853" s="57"/>
    </row>
    <row r="854" spans="41:41">
      <c r="AO854" s="57"/>
    </row>
    <row r="855" spans="41:41">
      <c r="AO855" s="57"/>
    </row>
    <row r="856" spans="41:41">
      <c r="AO856" s="57"/>
    </row>
    <row r="857" spans="41:41">
      <c r="AO857" s="57"/>
    </row>
    <row r="858" spans="41:41">
      <c r="AO858" s="57"/>
    </row>
    <row r="859" spans="41:41">
      <c r="AO859" s="57"/>
    </row>
    <row r="860" spans="41:41">
      <c r="AO860" s="57"/>
    </row>
    <row r="861" spans="41:41">
      <c r="AO861" s="57"/>
    </row>
    <row r="862" spans="41:41">
      <c r="AO862" s="57"/>
    </row>
    <row r="863" spans="41:41">
      <c r="AO863" s="57"/>
    </row>
    <row r="864" spans="41:41">
      <c r="AO864" s="57"/>
    </row>
    <row r="865" spans="41:41">
      <c r="AO865" s="57"/>
    </row>
    <row r="866" spans="41:41">
      <c r="AO866" s="57"/>
    </row>
    <row r="867" spans="41:41">
      <c r="AO867" s="57"/>
    </row>
    <row r="868" spans="41:41">
      <c r="AO868" s="57"/>
    </row>
    <row r="869" spans="41:41">
      <c r="AO869" s="57"/>
    </row>
    <row r="870" spans="41:41">
      <c r="AO870" s="57"/>
    </row>
    <row r="871" spans="41:41">
      <c r="AO871" s="57"/>
    </row>
    <row r="872" spans="41:41">
      <c r="AO872" s="57"/>
    </row>
    <row r="873" spans="41:41">
      <c r="AO873" s="57"/>
    </row>
    <row r="874" spans="41:41">
      <c r="AO874" s="57"/>
    </row>
    <row r="875" spans="41:41">
      <c r="AO875" s="57"/>
    </row>
    <row r="876" spans="41:41">
      <c r="AO876" s="57"/>
    </row>
    <row r="877" spans="41:41">
      <c r="AO877" s="57"/>
    </row>
    <row r="878" spans="41:41">
      <c r="AO878" s="57"/>
    </row>
    <row r="879" spans="41:41">
      <c r="AO879" s="57"/>
    </row>
    <row r="880" spans="41:41">
      <c r="AO880" s="57"/>
    </row>
    <row r="881" spans="41:41">
      <c r="AO881" s="57"/>
    </row>
    <row r="882" spans="41:41">
      <c r="AO882" s="57"/>
    </row>
    <row r="883" spans="41:41">
      <c r="AO883" s="57"/>
    </row>
    <row r="884" spans="41:41">
      <c r="AO884" s="57"/>
    </row>
    <row r="885" spans="41:41">
      <c r="AO885" s="57"/>
    </row>
    <row r="886" spans="41:41">
      <c r="AO886" s="57"/>
    </row>
    <row r="887" spans="41:41">
      <c r="AO887" s="57"/>
    </row>
    <row r="888" spans="41:41">
      <c r="AO888" s="57"/>
    </row>
    <row r="889" spans="41:41">
      <c r="AO889" s="57"/>
    </row>
    <row r="890" spans="41:41">
      <c r="AO890" s="57"/>
    </row>
    <row r="891" spans="41:41">
      <c r="AO891" s="57"/>
    </row>
    <row r="892" spans="41:41">
      <c r="AO892" s="57"/>
    </row>
    <row r="893" spans="41:41">
      <c r="AO893" s="57"/>
    </row>
    <row r="894" spans="41:41">
      <c r="AO894" s="57"/>
    </row>
    <row r="895" spans="41:41">
      <c r="AO895" s="57"/>
    </row>
    <row r="896" spans="41:41">
      <c r="AO896" s="57"/>
    </row>
    <row r="897" spans="41:41">
      <c r="AO897" s="57"/>
    </row>
    <row r="898" spans="41:41">
      <c r="AO898" s="57"/>
    </row>
    <row r="899" spans="41:41">
      <c r="AO899" s="57"/>
    </row>
    <row r="900" spans="41:41">
      <c r="AO900" s="57"/>
    </row>
    <row r="901" spans="41:41">
      <c r="AO901" s="57"/>
    </row>
    <row r="902" spans="41:41">
      <c r="AO902" s="57"/>
    </row>
    <row r="903" spans="41:41">
      <c r="AO903" s="57"/>
    </row>
    <row r="904" spans="41:41">
      <c r="AO904" s="57"/>
    </row>
    <row r="905" spans="41:41">
      <c r="AO905" s="57"/>
    </row>
    <row r="906" spans="41:41">
      <c r="AO906" s="57"/>
    </row>
    <row r="907" spans="41:41">
      <c r="AO907" s="57"/>
    </row>
    <row r="908" spans="41:41">
      <c r="AO908" s="57"/>
    </row>
    <row r="909" spans="41:41">
      <c r="AO909" s="57"/>
    </row>
    <row r="910" spans="41:41">
      <c r="AO910" s="57"/>
    </row>
    <row r="911" spans="41:41">
      <c r="AO911" s="57"/>
    </row>
    <row r="912" spans="41:41">
      <c r="AO912" s="57"/>
    </row>
    <row r="913" spans="41:41">
      <c r="AO913" s="57"/>
    </row>
    <row r="914" spans="41:41">
      <c r="AO914" s="57"/>
    </row>
    <row r="915" spans="41:41">
      <c r="AO915" s="57"/>
    </row>
    <row r="916" spans="41:41">
      <c r="AO916" s="57"/>
    </row>
    <row r="917" spans="41:41">
      <c r="AO917" s="57"/>
    </row>
    <row r="918" spans="41:41">
      <c r="AO918" s="57"/>
    </row>
    <row r="919" spans="41:41">
      <c r="AO919" s="57"/>
    </row>
    <row r="920" spans="41:41">
      <c r="AO920" s="57"/>
    </row>
    <row r="921" spans="41:41">
      <c r="AO921" s="57"/>
    </row>
    <row r="922" spans="41:41">
      <c r="AO922" s="57"/>
    </row>
    <row r="923" spans="41:41">
      <c r="AO923" s="57"/>
    </row>
    <row r="924" spans="41:41">
      <c r="AO924" s="57"/>
    </row>
    <row r="925" spans="41:41">
      <c r="AO925" s="57"/>
    </row>
    <row r="926" spans="41:41">
      <c r="AO926" s="57"/>
    </row>
    <row r="927" spans="41:41">
      <c r="AO927" s="57"/>
    </row>
    <row r="928" spans="41:41">
      <c r="AO928" s="57"/>
    </row>
    <row r="929" spans="41:41">
      <c r="AO929" s="57"/>
    </row>
    <row r="930" spans="41:41">
      <c r="AO930" s="57"/>
    </row>
    <row r="931" spans="41:41">
      <c r="AO931" s="57"/>
    </row>
    <row r="932" spans="41:41">
      <c r="AO932" s="57"/>
    </row>
    <row r="933" spans="41:41">
      <c r="AO933" s="57"/>
    </row>
    <row r="934" spans="41:41">
      <c r="AO934" s="57"/>
    </row>
    <row r="935" spans="41:41">
      <c r="AO935" s="57"/>
    </row>
    <row r="936" spans="41:41">
      <c r="AO936" s="57"/>
    </row>
    <row r="937" spans="41:41">
      <c r="AO937" s="57"/>
    </row>
    <row r="938" spans="41:41">
      <c r="AO938" s="57"/>
    </row>
    <row r="939" spans="41:41">
      <c r="AO939" s="57"/>
    </row>
    <row r="940" spans="41:41">
      <c r="AO940" s="57"/>
    </row>
    <row r="941" spans="41:41">
      <c r="AO941" s="57"/>
    </row>
    <row r="942" spans="41:41">
      <c r="AO942" s="57"/>
    </row>
    <row r="943" spans="41:41">
      <c r="AO943" s="57"/>
    </row>
    <row r="944" spans="41:41">
      <c r="AO944" s="57"/>
    </row>
    <row r="945" spans="41:41">
      <c r="AO945" s="57"/>
    </row>
    <row r="946" spans="41:41">
      <c r="AO946" s="57"/>
    </row>
    <row r="947" spans="41:41">
      <c r="AO947" s="57"/>
    </row>
    <row r="948" spans="41:41">
      <c r="AO948" s="57"/>
    </row>
    <row r="949" spans="41:41">
      <c r="AO949" s="57"/>
    </row>
    <row r="950" spans="41:41">
      <c r="AO950" s="57"/>
    </row>
    <row r="951" spans="41:41">
      <c r="AO951" s="57"/>
    </row>
    <row r="952" spans="41:41">
      <c r="AO952" s="57"/>
    </row>
    <row r="953" spans="41:41">
      <c r="AO953" s="57"/>
    </row>
    <row r="954" spans="41:41">
      <c r="AO954" s="57"/>
    </row>
    <row r="955" spans="41:41">
      <c r="AO955" s="57"/>
    </row>
    <row r="956" spans="41:41">
      <c r="AO956" s="57"/>
    </row>
    <row r="957" spans="41:41">
      <c r="AO957" s="57"/>
    </row>
    <row r="958" spans="41:41">
      <c r="AO958" s="57"/>
    </row>
    <row r="959" spans="41:41">
      <c r="AO959" s="57"/>
    </row>
    <row r="960" spans="41:41">
      <c r="AO960" s="57"/>
    </row>
    <row r="961" spans="41:41">
      <c r="AO961" s="57"/>
    </row>
    <row r="962" spans="41:41">
      <c r="AO962" s="57"/>
    </row>
    <row r="963" spans="41:41">
      <c r="AO963" s="57"/>
    </row>
    <row r="964" spans="41:41">
      <c r="AO964" s="57"/>
    </row>
    <row r="965" spans="41:41">
      <c r="AO965" s="57"/>
    </row>
    <row r="966" spans="41:41">
      <c r="AO966" s="57"/>
    </row>
    <row r="967" spans="41:41">
      <c r="AO967" s="57"/>
    </row>
    <row r="968" spans="41:41">
      <c r="AO968" s="57"/>
    </row>
    <row r="969" spans="41:41">
      <c r="AO969" s="57"/>
    </row>
    <row r="970" spans="41:41">
      <c r="AO970" s="57"/>
    </row>
    <row r="971" spans="41:41">
      <c r="AO971" s="57"/>
    </row>
    <row r="972" spans="41:41">
      <c r="AO972" s="57"/>
    </row>
    <row r="973" spans="41:41">
      <c r="AO973" s="57"/>
    </row>
    <row r="974" spans="41:41">
      <c r="AO974" s="57"/>
    </row>
    <row r="975" spans="41:41">
      <c r="AO975" s="57"/>
    </row>
    <row r="976" spans="41:41">
      <c r="AO976" s="57"/>
    </row>
    <row r="977" spans="41:41">
      <c r="AO977" s="57"/>
    </row>
    <row r="978" spans="41:41">
      <c r="AO978" s="57"/>
    </row>
    <row r="979" spans="41:41">
      <c r="AO979" s="57"/>
    </row>
    <row r="980" spans="41:41">
      <c r="AO980" s="57"/>
    </row>
    <row r="981" spans="41:41">
      <c r="AO981" s="57"/>
    </row>
    <row r="982" spans="41:41">
      <c r="AO982" s="57"/>
    </row>
    <row r="983" spans="41:41">
      <c r="AO983" s="57"/>
    </row>
    <row r="984" spans="41:41">
      <c r="AO984" s="57"/>
    </row>
    <row r="985" spans="41:41">
      <c r="AO985" s="57"/>
    </row>
    <row r="986" spans="41:41">
      <c r="AO986" s="57"/>
    </row>
    <row r="987" spans="41:41">
      <c r="AO987" s="57"/>
    </row>
    <row r="988" spans="41:41">
      <c r="AO988" s="57"/>
    </row>
    <row r="989" spans="41:41">
      <c r="AO989" s="57"/>
    </row>
    <row r="990" spans="41:41">
      <c r="AO990" s="57"/>
    </row>
    <row r="991" spans="41:41">
      <c r="AO991" s="57"/>
    </row>
    <row r="992" spans="41:41">
      <c r="AO992" s="57"/>
    </row>
    <row r="993" spans="41:41">
      <c r="AO993" s="57"/>
    </row>
    <row r="994" spans="41:41">
      <c r="AO994" s="57"/>
    </row>
    <row r="995" spans="41:41">
      <c r="AO995" s="57"/>
    </row>
    <row r="996" spans="41:41">
      <c r="AO996" s="57"/>
    </row>
    <row r="997" spans="41:41">
      <c r="AO997" s="57"/>
    </row>
    <row r="998" spans="41:41">
      <c r="AO998" s="57"/>
    </row>
    <row r="999" spans="41:41">
      <c r="AO999" s="57"/>
    </row>
    <row r="1000" spans="41:41">
      <c r="AO1000" s="57"/>
    </row>
    <row r="1001" spans="41:41">
      <c r="AO100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Breeding Status</vt:lpstr>
      <vt:lpstr>Period4</vt:lpstr>
      <vt:lpstr>Period5</vt:lpstr>
      <vt:lpstr>Period6</vt:lpstr>
      <vt:lpstr>Period7</vt:lpstr>
      <vt:lpstr>Period8</vt:lpstr>
      <vt:lpstr>Period9</vt:lpstr>
      <vt:lpstr>Period10</vt:lpstr>
      <vt:lpstr>Combined</vt:lpstr>
      <vt:lpstr>CombValues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Nathanael Swecker</cp:lastModifiedBy>
  <dcterms:modified xsi:type="dcterms:W3CDTF">2022-01-07T19:24:38Z</dcterms:modified>
</cp:coreProperties>
</file>